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2"/>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Т-подкл'!$834:$835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Т-подкл'!$836:$837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тарифов'!$79:$111</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тарифов'!$113:$127</definedName>
    <definedName name="BLOCK_PT_VOTV">'Перечень тарифов'!$129:$143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тарифов'!$Z$12:$Z$145</definedName>
    <definedName name="DIFFERENTIATION_TARIFF_VD_ID">'Перечень тарифов'!$AB$12:$AB$145</definedName>
    <definedName name="DIFFERENTIATION_TARIFF_VTAR_ID">'Перечень тарифов'!$AA$12:$AA$145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Предложение!$63:$69</definedName>
    <definedName name="OFFER_TARIFF_E_COLDVSNA_2">Предложение!$130:$136</definedName>
    <definedName name="OFFER_TARIFF_E_COLDVSNA_3">Предложение!$195:$201</definedName>
    <definedName name="OFFER_TARIFF_E_COLDVSNA_4">Предложение!$260:$266</definedName>
    <definedName name="OFFER_TARIFF_E_COLDVSNA_5">Предложение!$325:$331</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Т-подкл'!$T$833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тарифов'!$AL$12:$AL$145</definedName>
    <definedName name="PT_DIFFERENTIATION_CS_ID">'Перечень тарифов'!$AF$12:$AF$145</definedName>
    <definedName name="PT_DIFFERENTIATION_IST_TE">'Перечень тарифов'!$AM$12:$AM$145</definedName>
    <definedName name="PT_DIFFERENTIATION_IST_TE_ID">'Перечень тарифов'!$AG$12:$AG$145</definedName>
    <definedName name="PT_DIFFERENTIATION_NTAR">'Перечень тарифов'!$AJ$12:$AJ$145</definedName>
    <definedName name="PT_DIFFERENTIATION_NTAR_ID">'Перечень тарифов'!$AD$12:$AD$145</definedName>
    <definedName name="PT_DIFFERENTIATION_NUM_CS">'Перечень тарифов'!$AP$12:$AP$145</definedName>
    <definedName name="PT_DIFFERENTIATION_NUM_IST_TE">'Перечень тарифов'!$AQ$12:$AQ$145</definedName>
    <definedName name="PT_DIFFERENTIATION_NUM_NTAR">'Перечень тарифов'!$AN$12:$AN$145</definedName>
    <definedName name="PT_DIFFERENTIATION_NUM_TER">'Перечень тарифов'!$AO$12:$AO$145</definedName>
    <definedName name="PT_DIFFERENTIATION_TER">'Перечень тарифов'!$AK$12:$AK$145</definedName>
    <definedName name="PT_DIFFERENTIATION_TER_ID">'Перечень тарифов'!$AE$12:$AE$145</definedName>
    <definedName name="PT_DIFFERENTIATION_VDET">'Перечень тарифов'!$AI$12:$AI$145</definedName>
    <definedName name="PT_DIFFERENTIATION_VTAR">'Перечень тарифов'!$AH$12:$AH$145</definedName>
    <definedName name="PT_DIFFERENTIATION_VTAR_ID">'Перечень тарифов'!$AC$12:$AC$145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Т-подкл'!$BB$834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REESTR_IP!$A$2:$I$31</definedName>
    <definedName name="VD_LIST">REESTR_VED!$A$2:$B$8</definedName>
    <definedName name="VD_ID_LIST">REESTR_VED!$A$2:$A$8</definedName>
    <definedName name="VD_NAME_LIST">REESTR_VED!$B$2:$B$8</definedName>
    <definedName name="et_B_FHD20_1">et_union_hor!$115:$123</definedName>
    <definedName name="ter_1">'Список территорий'!$G$13:$I$13</definedName>
    <definedName name="pt_ntar_30">'ХВС. Т-подкл'!$63:$447</definedName>
    <definedName name="pt_ter_30">'ХВС. Т-подкл'!$64:$446</definedName>
    <definedName name="pt_cs_30">'ХВС. Т-подкл'!$65:$445</definedName>
    <definedName name="pt_ntar_301">'ХВС. Т-подкл'!$448:$832</definedName>
    <definedName name="pt_ter_31">'ХВС. Т-подкл'!$449:$831</definedName>
    <definedName name="pt_cs_31">'ХВС. Т-подкл'!$450:$830</definedName>
    <definedName name="DESCRIPTION_TERRITORY">REESTR_DS!$B$2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<sst xmlns="http://schemas.openxmlformats.org/spreadsheetml/2006/main" count="28346" uniqueCount="5342">
  <si>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</si>
  <si>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</si>
  <si>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</si>
  <si>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</si>
  <si>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</si>
  <si>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</si>
  <si>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</si>
  <si>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</si>
  <si>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</si>
  <si>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</si>
  <si>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</si>
  <si>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</si>
  <si>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</si>
  <si>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31383902</t>
  </si>
  <si>
    <t>Flag_Row_Size</t>
  </si>
  <si>
    <t>Субъект РФ</t>
  </si>
  <si>
    <t>Республика Саха (Якутия)</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</si>
  <si>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</si>
  <si>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</si>
  <si>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</si>
  <si>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</si>
  <si>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</si>
  <si>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</si>
  <si>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</si>
  <si>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</si>
  <si>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</si>
  <si>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</si>
  <si>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</si>
  <si>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</si>
  <si>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</si>
  <si>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</si>
  <si>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</si>
  <si>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</si>
  <si>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</si>
  <si>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</si>
  <si>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</si>
  <si>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</si>
  <si>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</si>
  <si>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</si>
  <si>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</si>
  <si>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</si>
  <si>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 222</t>
  </si>
  <si>
    <t>Наименование органа регулирования, принявшего решение об утверждении тарифов</t>
  </si>
  <si>
    <t>Государственный комитет по ценовой политике Республики Саха (Якутия)</t>
  </si>
  <si>
    <t>Источник официального опубликования решения</t>
  </si>
  <si>
    <t xml:space="preserve">Официальный интернет-портал правовой информации http://pravo.gov.ru/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</si>
  <si>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</si>
  <si>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</si>
  <si>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 СП «Нерюнгринская ГРЭС»</t>
  </si>
  <si>
    <t>Наименование (описание) обособленного подразделения</t>
  </si>
  <si>
    <t>ИНН</t>
  </si>
  <si>
    <t>1434031363</t>
  </si>
  <si>
    <t>КПП</t>
  </si>
  <si>
    <t>143445001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</si>
  <si>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</si>
  <si>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</si>
  <si>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</si>
  <si>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</si>
  <si>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</si>
  <si>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</si>
  <si>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</si>
  <si>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</si>
  <si>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</si>
  <si>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</si>
  <si>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</si>
  <si>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</si>
  <si>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</si>
  <si>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</si>
  <si>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</si>
  <si>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</si>
  <si>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</si>
  <si>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д. 49</t>
  </si>
  <si>
    <t>Фамилия, имя, отчество руководителя</t>
  </si>
  <si>
    <t>Иртов Сергей Викторович</t>
  </si>
  <si>
    <t>Ответственный за заполнение формы</t>
  </si>
  <si>
    <t>Фамилия, имя, отчество</t>
  </si>
  <si>
    <t xml:space="preserve">Маратканова Ирина Викторовна </t>
  </si>
  <si>
    <t>Должность</t>
  </si>
  <si>
    <t xml:space="preserve">Начальник отдела экономики и финансов </t>
  </si>
  <si>
    <t>Контактный телефон</t>
  </si>
  <si>
    <t>8(41147)95397</t>
  </si>
  <si>
    <t>E-mail</t>
  </si>
  <si>
    <t>maratkanova-iv@dgk.ru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</si>
  <si>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</si>
  <si>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</si>
  <si>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</si>
  <si>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</si>
  <si>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</si>
  <si>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</si>
  <si>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</si>
  <si>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</si>
  <si>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</si>
  <si>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</si>
  <si>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</si>
  <si>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</si>
  <si>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</si>
  <si>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</si>
  <si>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</si>
  <si>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</si>
  <si>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</si>
  <si>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234</t>
  </si>
  <si>
    <t>Нерюнгринский муниципальный район</t>
  </si>
  <si>
    <t>Город Нерюнгри</t>
  </si>
  <si>
    <t>98660101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</si>
  <si>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</si>
  <si>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</si>
  <si>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</si>
  <si>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</si>
  <si>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</si>
  <si>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</si>
  <si>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</si>
  <si>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</si>
  <si>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</si>
  <si>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</si>
  <si>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</si>
  <si>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</si>
  <si>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</si>
  <si>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</si>
  <si>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</si>
  <si>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</si>
  <si>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</si>
  <si>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</si>
  <si>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</si>
  <si>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</si>
  <si>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</si>
  <si>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</si>
  <si>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</si>
  <si>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</si>
  <si>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</si>
  <si>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</si>
  <si>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</si>
  <si>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</si>
  <si>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</si>
  <si>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</si>
  <si>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</si>
  <si>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</si>
  <si>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</si>
  <si>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</si>
  <si>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</si>
  <si>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</si>
  <si>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</si>
  <si>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</si>
  <si>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</si>
  <si>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</si>
  <si>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</si>
  <si>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</si>
  <si>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</si>
  <si>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</si>
  <si>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</si>
  <si>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</si>
  <si>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</si>
  <si>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</si>
  <si>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</si>
  <si>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</si>
  <si>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</si>
  <si>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</si>
  <si>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</si>
  <si>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</si>
  <si>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</si>
  <si>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</si>
  <si>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</si>
  <si>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</si>
  <si>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</si>
  <si>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</si>
  <si>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</si>
  <si>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</si>
  <si>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</si>
  <si>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</si>
  <si>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</si>
  <si>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</si>
  <si>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</si>
  <si>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</si>
  <si>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</si>
  <si>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</si>
  <si>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</si>
  <si>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</si>
  <si>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</si>
  <si>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</si>
  <si>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</si>
  <si>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</si>
  <si>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</si>
  <si>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</si>
  <si>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</si>
  <si>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</si>
  <si>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</si>
  <si>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</si>
  <si>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</si>
  <si>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</si>
  <si>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</si>
  <si>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</si>
  <si>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</si>
  <si>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</si>
  <si>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</si>
  <si>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</si>
  <si>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</si>
  <si>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</si>
  <si>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</si>
  <si>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</si>
  <si>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</si>
  <si>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</si>
  <si>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</si>
  <si>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</si>
  <si>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</si>
  <si>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</si>
  <si>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</si>
  <si>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</si>
  <si>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</si>
  <si>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</si>
  <si>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</si>
  <si>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</si>
  <si>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</si>
  <si>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</si>
  <si>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</si>
  <si>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</si>
  <si>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</si>
  <si>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</si>
  <si>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</si>
  <si>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</si>
  <si>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</si>
  <si>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</si>
  <si>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</si>
  <si>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</si>
  <si>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</si>
  <si>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</si>
  <si>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</si>
  <si>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</si>
  <si>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</si>
  <si>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</si>
  <si>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</si>
  <si>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</si>
  <si>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</si>
  <si>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</si>
  <si>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</si>
  <si>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</si>
  <si>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</si>
  <si>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</si>
  <si>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</si>
  <si>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</si>
  <si>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</si>
  <si>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</si>
  <si>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</si>
  <si>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</si>
  <si>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</si>
  <si>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</si>
  <si>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</si>
  <si>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 xml:space="preserve">Ставка тарифа на подключаемую нагрузку к централизованной системе холодного водоснабжения АО "ДГК" СП "Нерюнгринская ГРЭС" на 2026 год </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</si>
  <si>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</si>
  <si>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</si>
  <si>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</si>
  <si>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</si>
  <si>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</si>
  <si>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</si>
  <si>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</si>
  <si>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t>
  </si>
  <si>
    <t>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(без учета расходов на благоустройство)</t>
  </si>
  <si>
    <t>pt_ntar_30</t>
  </si>
  <si>
    <t>pt_ter_30</t>
  </si>
  <si>
    <t>pt_cs_30</t>
  </si>
  <si>
    <t>pt_ist_te_30</t>
  </si>
  <si>
    <t>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(с учетом расходов на благоустройство)</t>
  </si>
  <si>
    <t>pt_ntar_301</t>
  </si>
  <si>
    <t>pt_ter_31</t>
  </si>
  <si>
    <t>pt_cs_31</t>
  </si>
  <si>
    <t>pt_ist_te_31</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</si>
  <si>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</si>
  <si>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</si>
  <si>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</si>
  <si>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</si>
  <si>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</si>
  <si>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</si>
  <si>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</si>
  <si>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</si>
  <si>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</si>
  <si>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</si>
  <si>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</si>
  <si>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</si>
  <si>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</si>
  <si>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</si>
  <si>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</si>
  <si>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</si>
  <si>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</si>
  <si>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</si>
  <si>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</si>
  <si>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</si>
  <si>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</si>
  <si>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</si>
  <si>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</si>
  <si>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</si>
  <si>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</si>
  <si>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</si>
  <si>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</si>
  <si>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</si>
  <si>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</si>
  <si>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</si>
  <si>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</si>
  <si>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</si>
  <si>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</si>
  <si>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</si>
  <si>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</si>
  <si>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</si>
  <si>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</si>
  <si>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</si>
  <si>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</si>
  <si>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</si>
  <si>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</si>
  <si>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</si>
  <si>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</si>
  <si>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</si>
  <si>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</si>
  <si>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</si>
  <si>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</si>
  <si>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</si>
  <si>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</si>
  <si>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</si>
  <si>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</si>
  <si>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</si>
  <si>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</si>
  <si>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</si>
  <si>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</si>
  <si>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</si>
  <si>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</si>
  <si>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</si>
  <si>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</si>
  <si>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</si>
  <si>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</si>
  <si>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</si>
  <si>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</si>
  <si>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</si>
  <si>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</si>
  <si>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</si>
  <si>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</si>
  <si>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</si>
  <si>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</si>
  <si>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</si>
  <si>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</si>
  <si>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</si>
  <si>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</si>
  <si>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</si>
  <si>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</si>
  <si>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</si>
  <si>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</si>
  <si>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</si>
  <si>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</si>
  <si>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</si>
  <si>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</si>
  <si>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</si>
  <si>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</si>
  <si>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</si>
  <si>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</si>
  <si>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</si>
  <si>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</si>
  <si>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</si>
  <si>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</si>
  <si>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</si>
  <si>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</si>
  <si>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</si>
  <si>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</si>
  <si>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</si>
  <si>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</si>
  <si>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</si>
  <si>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</si>
  <si>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</si>
  <si>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</si>
  <si>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</si>
  <si>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</si>
  <si>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</si>
  <si>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</si>
  <si>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</si>
  <si>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</si>
  <si>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</si>
  <si>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</si>
  <si>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</si>
  <si>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</si>
  <si>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</si>
  <si>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</si>
  <si>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</si>
  <si>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</si>
  <si>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</si>
  <si>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</si>
  <si>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</si>
  <si>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</si>
  <si>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</si>
  <si>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</si>
  <si>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</si>
  <si>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</si>
  <si>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</si>
  <si>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</si>
  <si>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</si>
  <si>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</si>
  <si>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</si>
  <si>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</si>
  <si>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</si>
  <si>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</si>
  <si>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</si>
  <si>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</si>
  <si>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</si>
  <si>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</si>
  <si>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</si>
  <si>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</si>
  <si>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</si>
  <si>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</si>
  <si>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</si>
  <si>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</si>
  <si>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</si>
  <si>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</si>
  <si>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</si>
  <si>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</si>
  <si>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</si>
  <si>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</si>
  <si>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</si>
  <si>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</si>
  <si>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</si>
  <si>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</si>
  <si>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</si>
  <si>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</si>
  <si>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</si>
  <si>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</si>
  <si>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</si>
  <si>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</si>
  <si>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</si>
  <si>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</si>
  <si>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</si>
  <si>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</si>
  <si>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</si>
  <si>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</si>
  <si>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</si>
  <si>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</si>
  <si>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</si>
  <si>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</si>
  <si>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</si>
  <si>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</si>
  <si>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</si>
  <si>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</si>
  <si>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</si>
  <si>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</si>
  <si>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</si>
  <si>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</si>
  <si>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</si>
  <si>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</si>
  <si>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</si>
  <si>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</si>
  <si>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</si>
  <si>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</si>
  <si>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</si>
  <si>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</si>
  <si>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</si>
  <si>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</si>
  <si>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</si>
  <si>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</si>
  <si>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</si>
  <si>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</si>
  <si>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</si>
  <si>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</si>
  <si>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</si>
  <si>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</si>
  <si>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</si>
  <si>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</si>
  <si>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</si>
  <si>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</si>
  <si>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</si>
  <si>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</si>
  <si>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</si>
  <si>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</si>
  <si>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</si>
  <si>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</si>
  <si>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</si>
  <si>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</si>
  <si>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</si>
  <si>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</si>
  <si>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</si>
  <si>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</si>
  <si>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</si>
  <si>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</si>
  <si>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</si>
  <si>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</si>
  <si>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</si>
  <si>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</si>
  <si>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</si>
  <si>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</si>
  <si>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</si>
  <si>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</si>
  <si>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</si>
  <si>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</si>
  <si>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</si>
  <si>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</si>
  <si>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</si>
  <si>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</si>
  <si>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</si>
  <si>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</si>
  <si>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</si>
  <si>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</si>
  <si>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</si>
  <si>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</si>
  <si>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</si>
  <si>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</si>
  <si>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</si>
  <si>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</si>
  <si>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</si>
  <si>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</si>
  <si>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</si>
  <si>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</si>
  <si>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</si>
  <si>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</si>
  <si>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</si>
  <si>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</si>
  <si>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</si>
  <si>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</si>
  <si>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</si>
  <si>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</si>
  <si>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</si>
  <si>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</si>
  <si>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</si>
  <si>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</si>
  <si>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</si>
  <si>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</si>
  <si>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</si>
  <si>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</si>
  <si>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</si>
  <si>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</si>
  <si>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</si>
  <si>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</si>
  <si>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</si>
  <si>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</si>
  <si>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</si>
  <si>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</si>
  <si>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</si>
  <si>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</si>
  <si>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</si>
  <si>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</si>
  <si>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 xml:space="preserve">Ставка тарифа на подключаемую нагрузку к централизованной системе холодного водоснабжения </t>
  </si>
  <si>
    <t xml:space="preserve">наружные </t>
  </si>
  <si>
    <t>Наружные инженерные сети водопровода, разработка грунта с погрузкой в автотранспорт , стальные трубы диаметром:</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</si>
  <si>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</si>
  <si>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</si>
  <si>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</si>
  <si>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</si>
  <si>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</si>
  <si>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</si>
  <si>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Наружные инженерные сети водопровода, разработка грунта в отвал, стальные трубы диаметром:</t>
  </si>
  <si>
    <t>Наружные инженерные  водоводы, разработка грунта с погрузкой в автотранспорт, стальные трубы диаметры:</t>
  </si>
  <si>
    <t>Наружные инженерные сети водопровода, разработка грунта с погрузкой в автотранспорт,трубы полиэтиленовые диаметром:</t>
  </si>
  <si>
    <t>наружные</t>
  </si>
  <si>
    <t>Наружные инженерные сети водопровода, разработка грунта в отвал, трубы полиэтиленовые диаметром:</t>
  </si>
  <si>
    <t>Наружные инженерные водоводы, разработка грунта с погрузкой в автотранспорт, трубы полиэтиленовые диаметром:</t>
  </si>
  <si>
    <t>Наружные инженерные водоводы, разработка грунта в отвал, трубы полиэтиленовые диаметром:</t>
  </si>
  <si>
    <t>Прокладка трубопроводов водоснабжения в непроходных каналах с изоляцией минераловатными плитами и стеклопластиком, с погрузкой и вывозом грунта автотранспортом, диаметр труб:</t>
  </si>
  <si>
    <t>Прокладка трубопроводов водоснабжения в непроходных каналах с изоляцией минераловатными плитами и стеклопластиком, с работой на отвале, диаметр труб:</t>
  </si>
  <si>
    <t>Прокладка трубопроводов водоснабжения в непроходных каналах в изоляции из пенополиуретана (ППУ),с погрузкой и вывозом грунта автотранспортом, диаметр труб:</t>
  </si>
  <si>
    <t>Прокладка трубопроводов водоснабжения в непроходных каналах в изоляции из пенополиуретана (ППУ),с работай на отвале, диаметр труб:</t>
  </si>
  <si>
    <t xml:space="preserve">Бесканальная прокладка трубопроводов водоснабжения в изоляции из пенополиуретана (ППУ),  с работой на отвале, диаметр труб: </t>
  </si>
  <si>
    <t xml:space="preserve">Надземная прокладка трубопроводов водоснабжения с изоляцией минераловатными плитами и сталью тонколистовой, на низких опорах, диаметр труб: </t>
  </si>
  <si>
    <t xml:space="preserve">Надземная прокладка трубопроводов водоснабжения в изоляции из пенополиуретана(ППУ),на низких опорах, диаметр труб: </t>
  </si>
  <si>
    <t>Бесканальная прокладка трубопроводов водоснабжения Изопрофлекс АРТИК-У, диаметр труб:</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</si>
  <si>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</si>
  <si>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</si>
  <si>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</si>
  <si>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</si>
  <si>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</si>
  <si>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</si>
  <si>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</si>
  <si>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</si>
  <si>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</si>
  <si>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</si>
  <si>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</si>
  <si>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</si>
  <si>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</si>
  <si>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</si>
  <si>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</si>
  <si>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</si>
  <si>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</si>
  <si>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</si>
  <si>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</si>
  <si>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</si>
  <si>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</si>
  <si>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</si>
  <si>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</si>
  <si>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</si>
  <si>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</si>
  <si>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</si>
  <si>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</si>
  <si>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</si>
  <si>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</si>
  <si>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</si>
  <si>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</si>
  <si>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</si>
  <si>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</si>
  <si>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</si>
  <si>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</si>
  <si>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</si>
  <si>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</si>
  <si>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</si>
  <si>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</si>
  <si>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</si>
  <si>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</si>
  <si>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</si>
  <si>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</si>
  <si>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</si>
  <si>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</si>
  <si>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</si>
  <si>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</si>
  <si>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</si>
  <si>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</si>
  <si>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</si>
  <si>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</si>
  <si>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</si>
  <si>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</si>
  <si>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</si>
  <si>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</si>
  <si>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</si>
  <si>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</si>
  <si>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</si>
  <si>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</si>
  <si>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</si>
  <si>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</si>
  <si>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</si>
  <si>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</si>
  <si>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</si>
  <si>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</si>
  <si>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</si>
  <si>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</si>
  <si>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</si>
  <si>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</si>
  <si>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</si>
  <si>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</si>
  <si>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</si>
  <si>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</si>
  <si>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</si>
  <si>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</si>
  <si>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</si>
  <si>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</si>
  <si>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</si>
  <si>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</si>
  <si>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</si>
  <si>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</si>
  <si>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</si>
  <si>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</si>
  <si>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</si>
  <si>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</si>
  <si>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</si>
  <si>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</si>
  <si>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</si>
  <si>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</si>
  <si>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</si>
  <si>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</si>
  <si>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</si>
  <si>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</si>
  <si>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</si>
  <si>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</si>
  <si>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</si>
  <si>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</si>
  <si>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</si>
  <si>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</si>
  <si>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</si>
  <si>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</si>
  <si>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</si>
  <si>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</si>
  <si>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</si>
  <si>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</si>
  <si>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</si>
  <si>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</si>
  <si>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</si>
  <si>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</si>
  <si>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</si>
  <si>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</si>
  <si>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</si>
  <si>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</si>
  <si>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</si>
  <si>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</si>
  <si>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</si>
  <si>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</si>
  <si>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</si>
  <si>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</si>
  <si>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</si>
  <si>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</si>
  <si>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</si>
  <si>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</si>
  <si>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</si>
  <si>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</si>
  <si>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</si>
  <si>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</si>
  <si>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</si>
  <si>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</si>
  <si>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</si>
  <si>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</si>
  <si>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</si>
  <si>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</si>
  <si>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</si>
  <si>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</si>
  <si>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</si>
  <si>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</si>
  <si>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</si>
  <si>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</si>
  <si>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</si>
  <si>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</si>
  <si>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</si>
  <si>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</si>
  <si>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</si>
  <si>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</si>
  <si>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</si>
  <si>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</si>
  <si>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</si>
  <si>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</si>
  <si>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</si>
  <si>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</si>
  <si>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</si>
  <si>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</si>
  <si>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</si>
  <si>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</si>
  <si>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</si>
  <si>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</si>
  <si>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</si>
  <si>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</si>
  <si>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</si>
  <si>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</si>
  <si>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</si>
  <si>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</si>
  <si>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</si>
  <si>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</si>
  <si>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</si>
  <si>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</si>
  <si>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</si>
  <si>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</si>
  <si>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</si>
  <si>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</si>
  <si>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</si>
  <si>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</si>
  <si>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</si>
  <si>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</si>
  <si>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</si>
  <si>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</si>
  <si>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</si>
  <si>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</si>
  <si>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</si>
  <si>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</si>
  <si>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</si>
  <si>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</si>
  <si>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</si>
  <si>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</si>
  <si>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</si>
  <si>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</si>
  <si>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</si>
  <si>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</si>
  <si>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</si>
  <si>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</si>
  <si>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</si>
  <si>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</si>
  <si>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</si>
  <si>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</si>
  <si>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</si>
  <si>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</si>
  <si>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</si>
  <si>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</si>
  <si>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</si>
  <si>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</si>
  <si>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</si>
  <si>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</si>
  <si>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</si>
  <si>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</si>
  <si>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</si>
  <si>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</si>
  <si>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</si>
  <si>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</si>
  <si>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</si>
  <si>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</si>
  <si>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</si>
  <si>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</si>
  <si>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</si>
  <si>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</si>
  <si>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</si>
  <si>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</si>
  <si>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</si>
  <si>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</si>
  <si>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</si>
  <si>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</si>
  <si>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</si>
  <si>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</si>
  <si>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</si>
  <si>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</si>
  <si>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</si>
  <si>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</si>
  <si>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</si>
  <si>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</si>
  <si>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</si>
  <si>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</si>
  <si>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</si>
  <si>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</si>
  <si>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</si>
  <si>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</si>
  <si>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</si>
  <si>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</si>
  <si>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</si>
  <si>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</si>
  <si>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</si>
  <si>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</si>
  <si>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</si>
  <si>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</si>
  <si>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</si>
  <si>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</si>
  <si>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</si>
  <si>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</si>
  <si>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</si>
  <si>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</si>
  <si>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</si>
  <si>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</si>
  <si>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</si>
  <si>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</si>
  <si>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</si>
  <si>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</si>
  <si>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</si>
  <si>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</si>
  <si>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</si>
  <si>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</si>
  <si>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</si>
  <si>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</si>
  <si>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</si>
  <si>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</si>
  <si>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</si>
  <si>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</si>
  <si>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</si>
  <si>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</si>
  <si>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</si>
  <si>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</si>
  <si>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</si>
  <si>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</si>
  <si>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</si>
  <si>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</si>
  <si>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</si>
  <si>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</si>
  <si>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</si>
  <si>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</si>
  <si>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</si>
  <si>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</si>
  <si>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</si>
  <si>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</si>
  <si>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</si>
  <si>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</si>
  <si>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</si>
  <si>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</si>
  <si>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</si>
  <si>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</si>
  <si>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</si>
  <si>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</si>
  <si>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</si>
  <si>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</si>
  <si>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</si>
  <si>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</si>
  <si>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</si>
  <si>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</si>
  <si>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</si>
  <si>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</si>
  <si>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</si>
  <si>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</si>
  <si>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</si>
  <si>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</si>
  <si>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</si>
  <si>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</si>
  <si>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</si>
  <si>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</si>
  <si>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</si>
  <si>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</si>
  <si>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</si>
  <si>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</si>
  <si>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</si>
  <si>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</si>
  <si>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</si>
  <si>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</si>
  <si>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</si>
  <si>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</si>
  <si>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</si>
  <si>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</si>
  <si>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</si>
  <si>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</si>
  <si>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</si>
  <si>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</si>
  <si>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</si>
  <si>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</si>
  <si>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</si>
  <si>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</si>
  <si>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</si>
  <si>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</si>
  <si>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</si>
  <si>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</si>
  <si>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</si>
  <si>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</si>
  <si>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</si>
  <si>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</si>
  <si>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</si>
  <si>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</si>
  <si>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</si>
  <si>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</si>
  <si>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</si>
  <si>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</si>
  <si>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</si>
  <si>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</si>
  <si>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</si>
  <si>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</si>
  <si>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</si>
  <si>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</si>
  <si>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</si>
  <si>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</si>
  <si>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</si>
  <si>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</si>
  <si>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</si>
  <si>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</si>
  <si>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</si>
  <si>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</si>
  <si>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</si>
  <si>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</si>
  <si>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</si>
  <si>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</si>
  <si>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</si>
  <si>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</si>
  <si>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</si>
  <si>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</si>
  <si>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</si>
  <si>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</si>
  <si>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</si>
  <si>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</si>
  <si>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</si>
  <si>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</si>
  <si>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</si>
  <si>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</si>
  <si>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</si>
  <si>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</si>
  <si>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</si>
  <si>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</si>
  <si>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</si>
  <si>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</si>
  <si>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</si>
  <si>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</si>
  <si>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</si>
  <si>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</si>
  <si>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</si>
  <si>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</si>
  <si>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</si>
  <si>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</si>
  <si>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</si>
  <si>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</si>
  <si>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</si>
  <si>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</si>
  <si>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</si>
  <si>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</si>
  <si>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</si>
  <si>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</si>
  <si>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</si>
  <si>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</si>
  <si>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</si>
  <si>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</si>
  <si>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</si>
  <si>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</si>
  <si>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</si>
  <si>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</si>
  <si>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</si>
  <si>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</si>
  <si>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</si>
  <si>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</si>
  <si>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</si>
  <si>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</si>
  <si>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</si>
  <si>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</si>
  <si>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</si>
  <si>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</si>
  <si>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</si>
  <si>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</si>
  <si>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</si>
  <si>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</si>
  <si>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</si>
  <si>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</si>
  <si>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</si>
  <si>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</si>
  <si>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</si>
  <si>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</si>
  <si>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</si>
  <si>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</si>
  <si>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</si>
  <si>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</si>
  <si>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</si>
  <si>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</si>
  <si>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</si>
  <si>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</si>
  <si>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</si>
  <si>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</si>
  <si>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</si>
  <si>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</si>
  <si>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</si>
  <si>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</si>
  <si>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</si>
  <si>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</si>
  <si>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</si>
  <si>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</si>
  <si>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</si>
  <si>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</si>
  <si>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</si>
  <si>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</si>
  <si>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</si>
  <si>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</si>
  <si>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</si>
  <si>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</si>
  <si>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</si>
  <si>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</si>
  <si>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</si>
  <si>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</si>
  <si>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</si>
  <si>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</si>
  <si>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</si>
  <si>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</si>
  <si>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</si>
  <si>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</si>
  <si>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</si>
  <si>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</si>
  <si>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</si>
  <si>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</si>
  <si>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</si>
  <si>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</si>
  <si>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</si>
  <si>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</si>
  <si>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</si>
  <si>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</si>
  <si>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</si>
  <si>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</si>
  <si>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</si>
  <si>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</si>
  <si>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</si>
  <si>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</si>
  <si>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</si>
  <si>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</si>
  <si>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</si>
  <si>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</si>
  <si>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</si>
  <si>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</si>
  <si>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</si>
  <si>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</si>
  <si>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</si>
  <si>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</si>
  <si>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</si>
  <si>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</si>
  <si>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</si>
  <si>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</si>
  <si>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</si>
  <si>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</si>
  <si>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</si>
  <si>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</si>
  <si>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</si>
  <si>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</si>
  <si>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</si>
  <si>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</si>
  <si>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</si>
  <si>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</si>
  <si>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</si>
  <si>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</si>
  <si>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</si>
  <si>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</si>
  <si>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</si>
  <si>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</si>
  <si>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</si>
  <si>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</si>
  <si>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</si>
  <si>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</si>
  <si>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</si>
  <si>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</si>
  <si>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</si>
  <si>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</si>
  <si>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</si>
  <si>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</si>
  <si>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</si>
  <si>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</si>
  <si>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</si>
  <si>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</si>
  <si>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</si>
  <si>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</si>
  <si>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</si>
  <si>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</si>
  <si>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</si>
  <si>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</si>
  <si>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</si>
  <si>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</si>
  <si>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</si>
  <si>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</si>
  <si>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</si>
  <si>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</si>
  <si>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</si>
  <si>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</si>
  <si>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</si>
  <si>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</si>
  <si>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</si>
  <si>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</si>
  <si>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</si>
  <si>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</si>
  <si>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</si>
  <si>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</si>
  <si>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</si>
  <si>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</si>
  <si>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</si>
  <si>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</si>
  <si>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</si>
  <si>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</si>
  <si>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</si>
  <si>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</si>
  <si>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</si>
  <si>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</si>
  <si>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</si>
  <si>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</si>
  <si>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</si>
  <si>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</si>
  <si>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</si>
  <si>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</si>
  <si>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</si>
  <si>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</si>
  <si>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</si>
  <si>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</si>
  <si>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</si>
  <si>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</si>
  <si>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</si>
  <si>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</si>
  <si>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</si>
  <si>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</si>
  <si>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</si>
  <si>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</si>
  <si>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</si>
  <si>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</si>
  <si>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</si>
  <si>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</si>
  <si>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</si>
  <si>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</si>
  <si>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</si>
  <si>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</si>
  <si>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</si>
  <si>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</si>
  <si>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</si>
  <si>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</si>
  <si>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</si>
  <si>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</si>
  <si>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</si>
  <si>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</si>
  <si>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</si>
  <si>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</si>
  <si>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</si>
  <si>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</si>
  <si>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</si>
  <si>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</si>
  <si>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</si>
  <si>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</si>
  <si>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</si>
  <si>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</si>
  <si>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</si>
  <si>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</si>
  <si>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</si>
  <si>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</si>
  <si>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</si>
  <si>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</si>
  <si>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</si>
  <si>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</si>
  <si>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</si>
  <si>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</si>
  <si>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</si>
  <si>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</si>
  <si>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</si>
  <si>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</si>
  <si>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</si>
  <si>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</si>
  <si>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</si>
  <si>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</si>
  <si>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</si>
  <si>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</si>
  <si>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</si>
  <si>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</si>
  <si>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</si>
  <si>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</si>
  <si>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</si>
  <si>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</si>
  <si>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</si>
  <si>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</si>
  <si>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сайт АО "ДГК" https://www.dvgk.ru</t>
  </si>
  <si>
    <t>https://portal.eias.ru/Portal/DownloadPage.aspx?type=12&amp;guid=8432c17b-02ee-4c0a-82d6-39c831e653cb</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</si>
  <si>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</si>
  <si>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https://portal.eias.ru/Portal/DownloadPage.aspx?type=12&amp;guid=c78c1777-1293-4200-8021-e948cf2df460</t>
  </si>
  <si>
    <t>1. Копии правоустанавливающих документов, подтверждающих право собственности; 2. Ситуационный план расположения подключаемого объекта; 3. Топографическая карта земельного участка в масштабе 1:500; 4. Документы, подтверждающие полномочия лица, действующего от имени заявителя; для юридических лиц - копии учредительных документов.</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</si>
  <si>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</si>
  <si>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</si>
  <si>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</si>
  <si>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t>
  </si>
  <si>
    <t>Постановление Правительства РФ от 29 июля 2013 г. № 645 «Об утверждении типовых договоров в области холодного водоснабжения и водоотведения».</t>
  </si>
  <si>
    <t>5.1.1</t>
  </si>
  <si>
    <t>СП "Нерюнгринская ГРЭС" Диспетчерско-режимная группа тел. (411-47) 6-60-96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</si>
  <si>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</si>
  <si>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</si>
  <si>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678960, Республика Саха (Якутия), г. Нерюнгри, Водогрейная котельная</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</si>
  <si>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</si>
  <si>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</si>
  <si>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</si>
  <si>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</si>
  <si>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</si>
  <si>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</si>
  <si>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</si>
  <si>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</si>
  <si>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</si>
  <si>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</si>
  <si>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</si>
  <si>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</si>
  <si>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</si>
  <si>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</si>
  <si>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</si>
  <si>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</si>
  <si>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</si>
  <si>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</si>
  <si>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</si>
  <si>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</si>
  <si>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</si>
  <si>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</si>
  <si>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</si>
  <si>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</si>
  <si>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</si>
  <si>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</si>
  <si>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</si>
  <si>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</si>
  <si>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</si>
  <si>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</si>
  <si>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</si>
  <si>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</si>
  <si>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</si>
  <si>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</si>
  <si>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</si>
  <si>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</si>
  <si>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</si>
  <si>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</si>
  <si>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</si>
  <si>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</si>
  <si>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</si>
  <si>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</si>
  <si>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</si>
  <si>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</si>
  <si>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</si>
  <si>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</si>
  <si>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</si>
  <si>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</si>
  <si>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</si>
  <si>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</si>
  <si>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</si>
  <si>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</si>
  <si>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</si>
  <si>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</si>
  <si>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</si>
  <si>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</si>
  <si>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</si>
  <si>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</si>
  <si>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</si>
  <si>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</si>
  <si>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</si>
  <si>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</si>
  <si>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</si>
  <si>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</si>
  <si>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</si>
  <si>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</si>
  <si>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</si>
  <si>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</si>
  <si>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</si>
  <si>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</si>
  <si>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</si>
  <si>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</si>
  <si>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</si>
  <si>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</si>
  <si>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</si>
  <si>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</si>
  <si>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</si>
  <si>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</si>
  <si>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</si>
  <si>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</si>
  <si>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</si>
  <si>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</si>
  <si>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</si>
  <si>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</si>
  <si>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</si>
  <si>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</si>
  <si>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</si>
  <si>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</si>
  <si>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</si>
  <si>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</si>
  <si>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</si>
  <si>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</si>
  <si>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</si>
  <si>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</si>
  <si>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</si>
  <si>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</si>
  <si>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</si>
  <si>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</si>
  <si>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</si>
  <si>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</si>
  <si>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</si>
  <si>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</si>
  <si>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</si>
  <si>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</si>
  <si>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</si>
  <si>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</si>
  <si>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</si>
  <si>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</si>
  <si>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</si>
  <si>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</si>
  <si>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</si>
  <si>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</si>
  <si>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</si>
  <si>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</si>
  <si>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</si>
  <si>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</si>
  <si>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</si>
  <si>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</si>
  <si>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</si>
  <si>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</si>
  <si>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</si>
  <si>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</si>
  <si>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</si>
  <si>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</si>
  <si>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</si>
  <si>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</si>
  <si>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</si>
  <si>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</si>
  <si>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</si>
  <si>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</si>
  <si>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</si>
  <si>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</si>
  <si>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</si>
  <si>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</si>
  <si>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</si>
  <si>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</si>
  <si>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</si>
  <si>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</si>
  <si>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</si>
  <si>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</si>
  <si>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</si>
  <si>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</si>
  <si>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</si>
  <si>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</si>
  <si>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</si>
  <si>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</si>
  <si>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</si>
  <si>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</si>
  <si>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</si>
  <si>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</si>
  <si>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</si>
  <si>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</si>
  <si>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</si>
  <si>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</si>
  <si>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</si>
  <si>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</si>
  <si>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</si>
  <si>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</si>
  <si>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</si>
  <si>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</si>
  <si>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</si>
  <si>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</si>
  <si>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</si>
  <si>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</si>
  <si>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</si>
  <si>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</si>
  <si>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</si>
  <si>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</si>
  <si>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</si>
  <si>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</si>
  <si>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</si>
  <si>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</si>
  <si>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</si>
  <si>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</si>
  <si>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</si>
  <si>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</si>
  <si>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</si>
  <si>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</si>
  <si>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</si>
  <si>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</si>
  <si>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</si>
  <si>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</si>
  <si>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</si>
  <si>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</si>
  <si>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</si>
  <si>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</si>
  <si>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</si>
  <si>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</si>
  <si>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</si>
  <si>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</si>
  <si>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</si>
  <si>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</si>
  <si>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</si>
  <si>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</si>
  <si>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</si>
  <si>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</si>
  <si>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</si>
  <si>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</si>
  <si>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</si>
  <si>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</si>
  <si>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</si>
  <si>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</si>
  <si>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</si>
  <si>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</si>
  <si>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</si>
  <si>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</si>
  <si>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</si>
  <si>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</si>
  <si>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</si>
  <si>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</si>
  <si>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</si>
  <si>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</si>
  <si>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</si>
  <si>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</si>
  <si>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</si>
  <si>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</si>
  <si>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</si>
  <si>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</si>
  <si>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</si>
  <si>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</si>
  <si>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</si>
  <si>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</si>
  <si>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</si>
  <si>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</si>
  <si>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</si>
  <si>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</si>
  <si>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</si>
  <si>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</si>
  <si>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</si>
  <si>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</si>
  <si>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</si>
  <si>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</si>
  <si>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</si>
  <si>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</si>
  <si>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</si>
  <si>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</si>
  <si>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</si>
  <si>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</si>
  <si>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</si>
  <si>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</si>
  <si>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</si>
  <si>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</si>
  <si>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</si>
  <si>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</si>
  <si>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</si>
  <si>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</si>
  <si>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</si>
  <si>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</si>
  <si>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</si>
  <si>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</si>
  <si>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</si>
  <si>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</si>
  <si>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</si>
  <si>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</si>
  <si>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</si>
  <si>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</si>
  <si>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</si>
  <si>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</si>
  <si>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</si>
  <si>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</si>
  <si>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</si>
  <si>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</si>
  <si>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</si>
  <si>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</si>
  <si>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</si>
  <si>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</si>
  <si>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</si>
  <si>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</si>
  <si>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</si>
  <si>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</si>
  <si>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</si>
  <si>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</si>
  <si>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</si>
  <si>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</si>
  <si>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</si>
  <si>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</si>
  <si>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</si>
  <si>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</si>
  <si>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</si>
  <si>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</si>
  <si>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</si>
  <si>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</si>
  <si>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</si>
  <si>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</si>
  <si>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</si>
  <si>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</si>
  <si>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</si>
  <si>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</si>
  <si>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</si>
  <si>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</si>
  <si>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</si>
  <si>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</si>
  <si>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</si>
  <si>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</si>
  <si>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</si>
  <si>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</si>
  <si>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</si>
  <si>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</si>
  <si>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</si>
  <si>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</si>
  <si>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</si>
  <si>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</si>
  <si>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</si>
  <si>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</si>
  <si>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</si>
  <si>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</si>
  <si>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</si>
  <si>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</si>
  <si>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</si>
  <si>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</si>
  <si>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</si>
  <si>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</si>
  <si>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</si>
  <si>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</si>
  <si>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</si>
  <si>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</si>
  <si>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</si>
  <si>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</si>
  <si>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</si>
  <si>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</si>
  <si>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</si>
  <si>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</si>
  <si>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</si>
  <si>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</si>
  <si>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</si>
  <si>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</si>
  <si>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</si>
  <si>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</si>
  <si>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</si>
  <si>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</si>
  <si>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</si>
  <si>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</si>
  <si>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</si>
  <si>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</si>
  <si>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</si>
  <si>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</si>
  <si>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</si>
  <si>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</si>
  <si>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</si>
  <si>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</si>
  <si>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</si>
  <si>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</si>
  <si>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</si>
  <si>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</si>
  <si>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</si>
  <si>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</si>
  <si>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</si>
  <si>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</si>
  <si>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</si>
  <si>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</si>
  <si>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</si>
  <si>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</si>
  <si>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</si>
  <si>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</si>
  <si>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</si>
  <si>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</si>
  <si>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</si>
  <si>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</si>
  <si>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</si>
  <si>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</si>
  <si>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</si>
  <si>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</si>
  <si>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</si>
  <si>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</si>
  <si>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</si>
  <si>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</si>
  <si>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</si>
  <si>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</si>
  <si>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</si>
  <si>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</si>
  <si>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</si>
  <si>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</si>
  <si>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</si>
  <si>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</si>
  <si>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</si>
  <si>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</si>
  <si>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</si>
  <si>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</si>
  <si>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</si>
  <si>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</si>
  <si>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</si>
  <si>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</si>
  <si>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</si>
  <si>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</si>
  <si>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</si>
  <si>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</si>
  <si>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</si>
  <si>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</si>
  <si>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</si>
  <si>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</si>
  <si>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</si>
  <si>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</si>
  <si>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</si>
  <si>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</si>
  <si>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</si>
  <si>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</si>
  <si>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</si>
  <si>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</si>
  <si>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</si>
  <si>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</si>
  <si>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</si>
  <si>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</si>
  <si>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</si>
  <si>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</si>
  <si>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</si>
  <si>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</si>
  <si>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</si>
  <si>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</si>
  <si>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</si>
  <si>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</si>
  <si>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</si>
  <si>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</si>
  <si>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</si>
  <si>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</si>
  <si>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</si>
  <si>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</si>
  <si>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</si>
  <si>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</si>
  <si>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</si>
  <si>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</si>
  <si>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</si>
  <si>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</si>
  <si>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</si>
  <si>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</si>
  <si>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</si>
  <si>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</si>
  <si>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</si>
  <si>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</si>
  <si>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</si>
  <si>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</si>
  <si>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</si>
  <si>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</si>
  <si>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</si>
  <si>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</si>
  <si>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</si>
  <si>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</si>
  <si>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</si>
  <si>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</si>
  <si>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</si>
  <si>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</si>
  <si>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</si>
  <si>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</si>
  <si>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</si>
  <si>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</si>
  <si>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</si>
  <si>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</si>
  <si>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</si>
  <si>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</si>
  <si>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</si>
  <si>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</si>
  <si>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</si>
  <si>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</si>
  <si>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</si>
  <si>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</si>
  <si>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</si>
  <si>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</si>
  <si>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</si>
  <si>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</si>
  <si>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</si>
  <si>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</si>
  <si>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</si>
  <si>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</si>
  <si>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</si>
  <si>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</si>
  <si>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</si>
  <si>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</si>
  <si>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</si>
  <si>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</si>
  <si>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</si>
  <si>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</si>
  <si>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</si>
  <si>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</si>
  <si>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</si>
  <si>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</si>
  <si>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</si>
  <si>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</si>
  <si>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</si>
  <si>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</si>
  <si>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</si>
  <si>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</si>
  <si>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</si>
  <si>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</si>
  <si>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</si>
  <si>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</si>
  <si>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</si>
  <si>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</si>
  <si>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</si>
  <si>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</si>
  <si>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</si>
  <si>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</si>
  <si>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</si>
  <si>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</si>
  <si>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</si>
  <si>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</si>
  <si>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</si>
  <si>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</si>
  <si>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</si>
  <si>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</si>
  <si>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</si>
  <si>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</si>
  <si>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</si>
  <si>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</si>
  <si>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</si>
  <si>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</si>
  <si>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</si>
  <si>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</si>
  <si>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</si>
  <si>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</si>
  <si>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</si>
  <si>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</si>
  <si>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</si>
  <si>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</si>
  <si>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</si>
  <si>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</si>
  <si>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</si>
  <si>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</si>
  <si>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</si>
  <si>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</si>
  <si>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</si>
  <si>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</si>
  <si>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</si>
  <si>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</si>
  <si>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</si>
  <si>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</si>
  <si>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</si>
  <si>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</si>
  <si>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</si>
  <si>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</si>
  <si>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</si>
  <si>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</si>
  <si>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</si>
  <si>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</si>
  <si>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</si>
  <si>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</si>
  <si>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</si>
  <si>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</si>
  <si>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</si>
  <si>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</si>
  <si>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</si>
  <si>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</si>
  <si>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</si>
  <si>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</si>
  <si>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</si>
  <si>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</si>
  <si>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</si>
  <si>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</si>
  <si>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</si>
  <si>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</si>
  <si>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</si>
  <si>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</si>
  <si>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</si>
  <si>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</si>
  <si>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</si>
  <si>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</si>
  <si>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</si>
  <si>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</si>
  <si>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</si>
  <si>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</si>
  <si>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</si>
  <si>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</si>
  <si>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</si>
  <si>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</si>
  <si>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</si>
  <si>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</si>
  <si>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</si>
  <si>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</si>
  <si>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</si>
  <si>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</si>
  <si>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</si>
  <si>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</si>
  <si>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</si>
  <si>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</si>
  <si>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</si>
  <si>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</si>
  <si>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</si>
  <si>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</si>
  <si>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</si>
  <si>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</si>
  <si>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</si>
  <si>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</si>
  <si>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</si>
  <si>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</si>
  <si>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</si>
  <si>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</si>
  <si>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</si>
  <si>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</si>
  <si>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</si>
  <si>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</si>
  <si>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</si>
  <si>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</si>
  <si>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</si>
  <si>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</si>
  <si>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</si>
  <si>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</si>
  <si>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</si>
  <si>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</si>
  <si>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</si>
  <si>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</si>
  <si>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</si>
  <si>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</si>
  <si>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</si>
  <si>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</si>
  <si>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</si>
  <si>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</si>
  <si>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</si>
  <si>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</si>
  <si>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</si>
  <si>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</si>
  <si>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</si>
  <si>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</si>
  <si>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</si>
  <si>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</si>
  <si>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</si>
  <si>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</si>
  <si>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</si>
  <si>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</si>
  <si>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</si>
  <si>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</si>
  <si>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</si>
  <si>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</si>
  <si>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</si>
  <si>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</si>
  <si>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</si>
  <si>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</si>
  <si>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</si>
  <si>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</si>
  <si>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</si>
  <si>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</si>
  <si>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</si>
  <si>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</si>
  <si>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</si>
  <si>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</si>
  <si>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</si>
  <si>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</si>
  <si>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</si>
  <si>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</si>
  <si>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</si>
  <si>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</si>
  <si>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</si>
  <si>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</si>
  <si>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</si>
  <si>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</si>
  <si>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</si>
  <si>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</si>
  <si>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</si>
  <si>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</si>
  <si>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</si>
  <si>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</si>
  <si>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</si>
  <si>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</si>
  <si>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</si>
  <si>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</si>
  <si>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</si>
  <si>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</si>
  <si>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</si>
  <si>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</si>
  <si>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</si>
  <si>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</si>
  <si>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</si>
  <si>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</si>
  <si>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</si>
  <si>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</si>
  <si>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</si>
  <si>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</si>
  <si>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</si>
  <si>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</si>
  <si>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</si>
  <si>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</si>
  <si>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</si>
  <si>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</si>
  <si>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</si>
  <si>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</si>
  <si>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</si>
  <si>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</si>
  <si>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</si>
  <si>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</si>
  <si>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</si>
  <si>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</si>
  <si>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</si>
  <si>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</si>
  <si>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</si>
  <si>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</si>
  <si>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</si>
  <si>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</si>
  <si>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</si>
  <si>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</si>
  <si>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</si>
  <si>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</si>
  <si>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</si>
  <si>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</si>
  <si>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</si>
  <si>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</si>
  <si>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</si>
  <si>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</si>
  <si>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</si>
  <si>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</si>
  <si>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</si>
  <si>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</si>
  <si>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</si>
  <si>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</si>
  <si>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</si>
  <si>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</si>
  <si>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</si>
  <si>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</si>
  <si>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</si>
  <si>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</si>
  <si>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</si>
  <si>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</si>
  <si>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</si>
  <si>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</si>
  <si>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</si>
  <si>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</si>
  <si>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</si>
  <si>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</si>
  <si>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</si>
  <si>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</si>
  <si>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</si>
  <si>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</si>
  <si>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</si>
  <si>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</si>
  <si>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</si>
  <si>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</si>
  <si>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</si>
  <si>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</si>
  <si>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</si>
  <si>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</si>
  <si>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</si>
  <si>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</si>
  <si>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</si>
  <si>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</si>
  <si>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</si>
  <si>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</si>
  <si>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</si>
  <si>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</si>
  <si>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</si>
  <si>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</si>
  <si>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</si>
  <si>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</si>
  <si>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</si>
  <si>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</si>
  <si>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</si>
  <si>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</si>
  <si>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</si>
  <si>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</si>
  <si>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</si>
  <si>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</si>
  <si>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</si>
  <si>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</si>
  <si>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</si>
  <si>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</si>
  <si>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</si>
  <si>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</si>
  <si>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</si>
  <si>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</si>
  <si>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</si>
  <si>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</si>
  <si>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</si>
  <si>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</si>
  <si>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</si>
  <si>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</si>
  <si>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</si>
  <si>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</si>
  <si>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</si>
  <si>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</si>
  <si>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</si>
  <si>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</si>
  <si>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</si>
  <si>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</si>
  <si>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</si>
  <si>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</si>
  <si>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</si>
  <si>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</si>
  <si>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</si>
  <si>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</si>
  <si>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</si>
  <si>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</si>
  <si>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</si>
  <si>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</si>
  <si>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</si>
  <si>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</si>
  <si>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</si>
  <si>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</si>
  <si>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</si>
  <si>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</si>
  <si>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</si>
  <si>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</si>
  <si>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</si>
  <si>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</si>
  <si>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</si>
  <si>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</si>
  <si>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</si>
  <si>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</si>
  <si>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</si>
  <si>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</si>
  <si>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</si>
  <si>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</si>
  <si>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</si>
  <si>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</si>
  <si>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</si>
  <si>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</si>
  <si>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</si>
  <si>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</si>
  <si>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</si>
  <si>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</si>
  <si>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</si>
  <si>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</si>
  <si>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</si>
  <si>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</si>
  <si>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</si>
  <si>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</si>
  <si>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</si>
  <si>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</si>
  <si>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</si>
  <si>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</si>
  <si>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</si>
  <si>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</si>
  <si>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</si>
  <si>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</si>
  <si>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</si>
  <si>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</si>
  <si>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</si>
  <si>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</si>
  <si>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</si>
  <si>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</si>
  <si>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</si>
  <si>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</si>
  <si>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</si>
  <si>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</si>
  <si>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</si>
  <si>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</si>
  <si>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</si>
  <si>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</si>
  <si>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</si>
  <si>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</si>
  <si>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</si>
  <si>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</si>
  <si>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</si>
  <si>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</si>
  <si>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</si>
  <si>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</si>
  <si>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</si>
  <si>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</si>
  <si>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</si>
  <si>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</si>
  <si>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</si>
  <si>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</si>
  <si>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</si>
  <si>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</si>
  <si>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</si>
  <si>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</si>
  <si>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</si>
  <si>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</si>
  <si>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</si>
  <si>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</si>
  <si>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</si>
  <si>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</si>
  <si>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</si>
  <si>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</si>
  <si>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</si>
  <si>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</si>
  <si>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</si>
  <si>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</si>
  <si>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</si>
  <si>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</si>
  <si>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</si>
  <si>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</si>
  <si>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</si>
  <si>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</si>
  <si>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</si>
  <si>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</si>
  <si>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</si>
  <si>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</si>
  <si>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</si>
  <si>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</si>
  <si>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</si>
  <si>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</si>
  <si>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</si>
  <si>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</si>
  <si>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</si>
  <si>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</si>
  <si>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</si>
  <si>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</si>
  <si>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</si>
  <si>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</si>
  <si>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</si>
  <si>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</si>
  <si>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</si>
  <si>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</si>
  <si>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</si>
  <si>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</si>
  <si>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</si>
  <si>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</si>
  <si>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</si>
  <si>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</si>
  <si>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</si>
  <si>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</si>
  <si>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</si>
  <si>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</si>
  <si>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</si>
  <si>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</si>
  <si>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</si>
  <si>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</si>
  <si>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</si>
  <si>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</si>
  <si>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</si>
  <si>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</si>
  <si>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</si>
  <si>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</si>
  <si>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</si>
  <si>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</si>
  <si>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</si>
  <si>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</si>
  <si>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</si>
  <si>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</si>
  <si>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</si>
  <si>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</si>
  <si>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</si>
  <si>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</si>
  <si>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</si>
  <si>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</si>
  <si>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</si>
  <si>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</si>
  <si>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</si>
  <si>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</si>
  <si>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</si>
  <si>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</si>
  <si>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</si>
  <si>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</si>
  <si>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</si>
  <si>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</si>
  <si>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</si>
  <si>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</si>
  <si>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</si>
  <si>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</si>
  <si>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</si>
  <si>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</si>
  <si>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</si>
  <si>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</si>
  <si>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</si>
  <si>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</si>
  <si>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</si>
  <si>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</si>
  <si>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</si>
  <si>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</si>
  <si>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</si>
  <si>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</si>
  <si>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</si>
  <si>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</si>
  <si>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</si>
  <si>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</si>
  <si>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</si>
  <si>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</si>
  <si>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</si>
  <si>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</si>
  <si>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</si>
  <si>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</si>
  <si>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</si>
  <si>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</si>
  <si>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</si>
  <si>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</si>
  <si>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</si>
  <si>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</si>
  <si>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</si>
  <si>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</si>
  <si>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</si>
  <si>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</si>
  <si>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</si>
  <si>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</si>
  <si>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</si>
  <si>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</si>
  <si>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</si>
  <si>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</si>
  <si>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</si>
  <si>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</si>
  <si>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</si>
  <si>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</si>
  <si>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</si>
  <si>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</si>
  <si>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</si>
  <si>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</si>
  <si>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</si>
  <si>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</si>
  <si>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</si>
  <si>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</si>
  <si>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</si>
  <si>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</si>
  <si>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</si>
  <si>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</si>
  <si>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</si>
  <si>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</si>
  <si>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</si>
  <si>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</si>
  <si>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</si>
  <si>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</si>
  <si>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</si>
  <si>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</si>
  <si>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</si>
  <si>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</si>
  <si>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</si>
  <si>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</si>
  <si>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</si>
  <si>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</si>
  <si>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</si>
  <si>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</si>
  <si>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</si>
  <si>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</si>
  <si>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</si>
  <si>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</si>
  <si>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</si>
  <si>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</si>
  <si>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</si>
  <si>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</si>
  <si>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</si>
  <si>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</si>
  <si>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</si>
  <si>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</si>
  <si>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</si>
  <si>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</si>
  <si>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</si>
  <si>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</si>
  <si>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</si>
  <si>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</si>
  <si>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</si>
  <si>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</si>
  <si>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</si>
  <si>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</si>
  <si>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</si>
  <si>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</si>
  <si>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</si>
  <si>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</si>
  <si>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</si>
  <si>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</si>
  <si>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</si>
  <si>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</si>
  <si>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</si>
  <si>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</si>
  <si>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</si>
  <si>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</si>
  <si>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</si>
  <si>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</si>
  <si>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</si>
  <si>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</si>
  <si>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</si>
  <si>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</si>
  <si>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</si>
  <si>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</si>
  <si>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</si>
  <si>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</si>
  <si>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</si>
  <si>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</si>
  <si>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</si>
  <si>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</si>
  <si>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</si>
  <si>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</si>
  <si>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</si>
  <si>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</si>
  <si>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</si>
  <si>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</si>
  <si>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</si>
  <si>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</si>
  <si>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</si>
  <si>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</si>
  <si>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</si>
  <si>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</si>
  <si>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</si>
  <si>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</si>
  <si>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</si>
  <si>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</si>
  <si>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</si>
  <si>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</si>
  <si>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</si>
  <si>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</si>
  <si>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</si>
  <si>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</si>
  <si>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</si>
  <si>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</si>
  <si>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</si>
  <si>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</si>
  <si>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</si>
  <si>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</si>
  <si>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</si>
  <si>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</si>
  <si>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</si>
  <si>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</si>
  <si>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</si>
  <si>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</si>
  <si>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</si>
  <si>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</si>
  <si>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</si>
  <si>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</si>
  <si>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</si>
  <si>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</si>
  <si>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</si>
  <si>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</si>
  <si>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</si>
  <si>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</si>
  <si>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</si>
  <si>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</si>
  <si>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</si>
  <si>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</si>
  <si>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</si>
  <si>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2663</t>
  </si>
  <si>
    <t>26507162</t>
  </si>
  <si>
    <t>АК "АЛРОСА" (ПАО) МУАД п. Моркока</t>
  </si>
  <si>
    <t>1433000147</t>
  </si>
  <si>
    <t>143332042</t>
  </si>
  <si>
    <t>13-08-1992 00:00:00</t>
  </si>
  <si>
    <t>26507150</t>
  </si>
  <si>
    <t>АК "АЛРОСА" (ПАО) Мирнинское Авиационное предприятие</t>
  </si>
  <si>
    <t>143332009</t>
  </si>
  <si>
    <t>26506945</t>
  </si>
  <si>
    <t>АО "Водоканал"</t>
  </si>
  <si>
    <t>1435219600</t>
  </si>
  <si>
    <t>143501001</t>
  </si>
  <si>
    <t>10-09-2009 00:00:00</t>
  </si>
  <si>
    <t>30431003</t>
  </si>
  <si>
    <t>АО "ГУ ЖКХ"</t>
  </si>
  <si>
    <t>5116000922</t>
  </si>
  <si>
    <t>753645001</t>
  </si>
  <si>
    <t>30335229</t>
  </si>
  <si>
    <t>770401001</t>
  </si>
  <si>
    <t>26354275</t>
  </si>
  <si>
    <t>АО "Гостиница Лена"</t>
  </si>
  <si>
    <t>1435153822</t>
  </si>
  <si>
    <t>12-11-2004 00:00:00</t>
  </si>
  <si>
    <t>27051081</t>
  </si>
  <si>
    <t>АО "ДГК"</t>
  </si>
  <si>
    <t>997450001</t>
  </si>
  <si>
    <t>19-12-2005 00:00:00</t>
  </si>
  <si>
    <t>26354215</t>
  </si>
  <si>
    <t>АО "Кировский угольный разрез"</t>
  </si>
  <si>
    <t>1419005376</t>
  </si>
  <si>
    <t>141901001</t>
  </si>
  <si>
    <t>18-03-2005 00:00:00</t>
  </si>
  <si>
    <t>31339914</t>
  </si>
  <si>
    <t>АО "Комдрагметалл РС(Я)"</t>
  </si>
  <si>
    <t>1435343333</t>
  </si>
  <si>
    <t>18-06-2019 00:00:00</t>
  </si>
  <si>
    <t>27571501</t>
  </si>
  <si>
    <t>АО "Намкоммунтеплоэнерго"</t>
  </si>
  <si>
    <t>1417008773</t>
  </si>
  <si>
    <t>141701001</t>
  </si>
  <si>
    <t>11-11-2011 00:00:00</t>
  </si>
  <si>
    <t>26354184</t>
  </si>
  <si>
    <t>АО "Полюс Алдан"</t>
  </si>
  <si>
    <t>1402046085</t>
  </si>
  <si>
    <t>140201001</t>
  </si>
  <si>
    <t>16-12-2005 00:00:00</t>
  </si>
  <si>
    <t>26507031</t>
  </si>
  <si>
    <t>АО "Саханефтегазсбыт" Белогорская нефтебаза</t>
  </si>
  <si>
    <t>1435115270</t>
  </si>
  <si>
    <t>140102001</t>
  </si>
  <si>
    <t>01-09-2000 00:00:00</t>
  </si>
  <si>
    <t>26507095</t>
  </si>
  <si>
    <t>АО "Саханефтегазсбыт" Жиганская нефтебаза</t>
  </si>
  <si>
    <t>141202001</t>
  </si>
  <si>
    <t>26507137</t>
  </si>
  <si>
    <t>АО "Саханефтегазсбыт" Ленская нефтебаза</t>
  </si>
  <si>
    <t>141402001</t>
  </si>
  <si>
    <t>26507194</t>
  </si>
  <si>
    <t>АО "Саханефтегазсбыт" Олекминская нефтебаза</t>
  </si>
  <si>
    <t>142102001</t>
  </si>
  <si>
    <t>26507237</t>
  </si>
  <si>
    <t>АО "Саханефтегазсбыт" Покровская нефтебаза</t>
  </si>
  <si>
    <t>143102001</t>
  </si>
  <si>
    <t>26507231</t>
  </si>
  <si>
    <t>АО "Саханефтегазсбыт" Усть-Куйгинская нефтебаза</t>
  </si>
  <si>
    <t>142902001</t>
  </si>
  <si>
    <t>26507217</t>
  </si>
  <si>
    <t>АО "Саханефтегазсбыт" Хандыгская нефтебаза</t>
  </si>
  <si>
    <t>142602001</t>
  </si>
  <si>
    <t>30882877</t>
  </si>
  <si>
    <t>АО "Саханефтегазсбыт" Якутская нефтебаза</t>
  </si>
  <si>
    <t>143502001</t>
  </si>
  <si>
    <t>26507029</t>
  </si>
  <si>
    <t>АО "Сахаэнерго" филиал "Белогорский РЭС"</t>
  </si>
  <si>
    <t>1435117944</t>
  </si>
  <si>
    <t>16-01-2001 00:00:00</t>
  </si>
  <si>
    <t>26642562</t>
  </si>
  <si>
    <t>АО "Сахаэнерго" филиал "Кобяйские ЭС"</t>
  </si>
  <si>
    <t>141331006</t>
  </si>
  <si>
    <t>26507166</t>
  </si>
  <si>
    <t>АО "Сахаэнерго" филиал "Момский РЭС"</t>
  </si>
  <si>
    <t>141602001</t>
  </si>
  <si>
    <t>26507175</t>
  </si>
  <si>
    <t>АО "Сахаэнерго" филиал "Нижнеколымский РЭС"</t>
  </si>
  <si>
    <t>141802001</t>
  </si>
  <si>
    <t>26567364</t>
  </si>
  <si>
    <t>АО "Сахаэнерго" филиал "Оймяконский РЭС"</t>
  </si>
  <si>
    <t>142003001</t>
  </si>
  <si>
    <t>26507192</t>
  </si>
  <si>
    <t>АО "Сахаэнерго" филиал "Олекминский РЭС"</t>
  </si>
  <si>
    <t>142102003</t>
  </si>
  <si>
    <t>26507205</t>
  </si>
  <si>
    <t>АО "Сахаэнерго" филиал "Среднеколымский РЭС"</t>
  </si>
  <si>
    <t>142302001</t>
  </si>
  <si>
    <t>26507047</t>
  </si>
  <si>
    <t>АО "Сахаэнерго" филиал "Чокурдахский РЭС"</t>
  </si>
  <si>
    <t>140302001</t>
  </si>
  <si>
    <t>26507229</t>
  </si>
  <si>
    <t>АО "Сахаэнерго" филиал "Янские ЭС"</t>
  </si>
  <si>
    <t>26354226</t>
  </si>
  <si>
    <t>АО "ТЕЛЕН"</t>
  </si>
  <si>
    <t>1425000746</t>
  </si>
  <si>
    <t>142501001</t>
  </si>
  <si>
    <t>07-12-2002 00:00:00</t>
  </si>
  <si>
    <t>31180864</t>
  </si>
  <si>
    <t>АО "Теплоэнергия"</t>
  </si>
  <si>
    <t>1435332211</t>
  </si>
  <si>
    <t>28-04-2018 00:00:00</t>
  </si>
  <si>
    <t>26506836</t>
  </si>
  <si>
    <t>АО "Хангаласский Газстрой"</t>
  </si>
  <si>
    <t>1431002195</t>
  </si>
  <si>
    <t>143101001</t>
  </si>
  <si>
    <t>08-09-2002 00:00:00</t>
  </si>
  <si>
    <t>26506880</t>
  </si>
  <si>
    <t>АО "ЯКУТОПТТОРГ"</t>
  </si>
  <si>
    <t>1435167374</t>
  </si>
  <si>
    <t>27-01-2006 00:00:00</t>
  </si>
  <si>
    <t>31717837</t>
  </si>
  <si>
    <t>АО «ЮРК»</t>
  </si>
  <si>
    <t>2312322014</t>
  </si>
  <si>
    <t>231201001</t>
  </si>
  <si>
    <t>22-09-2023 00:00:00</t>
  </si>
  <si>
    <t>28487558</t>
  </si>
  <si>
    <t>АО Компания "Кран-сервис"</t>
  </si>
  <si>
    <t>1435025429</t>
  </si>
  <si>
    <t>17-07-2002 00:00:00</t>
  </si>
  <si>
    <t>26354268</t>
  </si>
  <si>
    <t>АО ЛК "Туймаада-Лизинг"</t>
  </si>
  <si>
    <t>1435203015</t>
  </si>
  <si>
    <t>01-05-1996 00:00:00</t>
  </si>
  <si>
    <t>26354242</t>
  </si>
  <si>
    <t>АО ПО "Якутцемент"</t>
  </si>
  <si>
    <t>1431008422</t>
  </si>
  <si>
    <t>10-11-2003 00:00:00</t>
  </si>
  <si>
    <t>27724888</t>
  </si>
  <si>
    <t>Алданский филиал АО "Теплоэнергосервис"</t>
  </si>
  <si>
    <t>1435191592</t>
  </si>
  <si>
    <t>140243001</t>
  </si>
  <si>
    <t>15-09-2011 00:00:00</t>
  </si>
  <si>
    <t>30895075</t>
  </si>
  <si>
    <t>Амгинский филиал АО "РИК Автодор"</t>
  </si>
  <si>
    <t>1419005577</t>
  </si>
  <si>
    <t>140443001</t>
  </si>
  <si>
    <t>22-11-2016 00:00:00</t>
  </si>
  <si>
    <t>26507144</t>
  </si>
  <si>
    <t>Вилюйский филиал АО "Теплоэнергосервис"</t>
  </si>
  <si>
    <t>143302001</t>
  </si>
  <si>
    <t>29-08-2007 00:00:00</t>
  </si>
  <si>
    <t>30959240</t>
  </si>
  <si>
    <t>ГАНОУ РС(Я) "РРЦ Юные Якутяне"</t>
  </si>
  <si>
    <t>1435188374</t>
  </si>
  <si>
    <t>25-05-2007 00:00:00</t>
  </si>
  <si>
    <t>27577232</t>
  </si>
  <si>
    <t>ГАНОУ РЦ РС (Я) "МАН РС (Я)"</t>
  </si>
  <si>
    <t>1431007115</t>
  </si>
  <si>
    <t>16-01-2012 00:00:00</t>
  </si>
  <si>
    <t>26506878</t>
  </si>
  <si>
    <t>ГАУ РС(Я) "Республиканская больница №1 - Национальный центр медицины"</t>
  </si>
  <si>
    <t>1435099188</t>
  </si>
  <si>
    <t>20-12-2002 00:00:00</t>
  </si>
  <si>
    <t>26506860</t>
  </si>
  <si>
    <t>ГКОУ "Республиканская СКШИ 5 вида"</t>
  </si>
  <si>
    <t>1435119356</t>
  </si>
  <si>
    <t>27-02-2003 00:00:00</t>
  </si>
  <si>
    <t>ГОСУДАРСТВЕННЫЙ КОМИТЕТ ПО ЦЕНОВОЙ ПОЛИТИКЕ РЕСПУБЛИКИ САХА (ЯКУТИЯ)</t>
  </si>
  <si>
    <t>1435117895</t>
  </si>
  <si>
    <t>26506849</t>
  </si>
  <si>
    <t>ГУП "ЖКХ РС(Я)"</t>
  </si>
  <si>
    <t>1435133520</t>
  </si>
  <si>
    <t>07-02-2003 00:00:00</t>
  </si>
  <si>
    <t>26507027</t>
  </si>
  <si>
    <t>ГУП "ЖКХ РС(Я)" Абыйский филиал</t>
  </si>
  <si>
    <t>26507043</t>
  </si>
  <si>
    <t>ГУП "ЖКХ РС(Я)" Аллаиховский филиал</t>
  </si>
  <si>
    <t>26507045</t>
  </si>
  <si>
    <t>ГУП "ЖКХ РС(Я)" Амгинский филиал</t>
  </si>
  <si>
    <t>140402001</t>
  </si>
  <si>
    <t>26507055</t>
  </si>
  <si>
    <t>ГУП "ЖКХ РС(Я)" Анабарский филиал</t>
  </si>
  <si>
    <t>140503001</t>
  </si>
  <si>
    <t>26507063</t>
  </si>
  <si>
    <t>ГУП "ЖКХ РС(Я)" Булунский филиал</t>
  </si>
  <si>
    <t>140603001</t>
  </si>
  <si>
    <t>26507073</t>
  </si>
  <si>
    <t>ГУП "ЖКХ РС(Я)" Верхневилюйский филиал</t>
  </si>
  <si>
    <t>140703001</t>
  </si>
  <si>
    <t>26507065</t>
  </si>
  <si>
    <t>ГУП "ЖКХ РС(Я)" Верхнеколымский филиал</t>
  </si>
  <si>
    <t>140803001</t>
  </si>
  <si>
    <t>26507079</t>
  </si>
  <si>
    <t>ГУП "ЖКХ РС(Я)" Верхоянский филиал</t>
  </si>
  <si>
    <t>140902001</t>
  </si>
  <si>
    <t>26507085</t>
  </si>
  <si>
    <t>ГУП "ЖКХ РС(Я)" Вилюйский филиал</t>
  </si>
  <si>
    <t>141002001</t>
  </si>
  <si>
    <t>26507087</t>
  </si>
  <si>
    <t>ГУП "ЖКХ РС(Я)" Горный филиал</t>
  </si>
  <si>
    <t>141102001</t>
  </si>
  <si>
    <t>26507091</t>
  </si>
  <si>
    <t>ГУП "ЖКХ РС(Я)" Жиганский филиал</t>
  </si>
  <si>
    <t>26507097</t>
  </si>
  <si>
    <t>ГУП "ЖКХ РС(Я)" Кобяйский филиал</t>
  </si>
  <si>
    <t>141303001</t>
  </si>
  <si>
    <t>26507139</t>
  </si>
  <si>
    <t>ГУП "ЖКХ РС(Я)" Мегино-Кангаласский филиал</t>
  </si>
  <si>
    <t>141503001</t>
  </si>
  <si>
    <t>26507164</t>
  </si>
  <si>
    <t>ГУП "ЖКХ РС(Я)" Момский филиал</t>
  </si>
  <si>
    <t>141603001</t>
  </si>
  <si>
    <t>26507171</t>
  </si>
  <si>
    <t>ГУП "ЖКХ РС(Я)" Нижнеколымский филиал</t>
  </si>
  <si>
    <t>26507184</t>
  </si>
  <si>
    <t>ГУП "ЖКХ РС(Я)" Нюрбинский филиал</t>
  </si>
  <si>
    <t>141902001</t>
  </si>
  <si>
    <t>26507190</t>
  </si>
  <si>
    <t>ГУП "ЖКХ РС(Я)" Олекминский филиал</t>
  </si>
  <si>
    <t>26507197</t>
  </si>
  <si>
    <t>ГУП "ЖКХ РС(Я)" Оленекский филиал</t>
  </si>
  <si>
    <t>142202001</t>
  </si>
  <si>
    <t>26507201</t>
  </si>
  <si>
    <t>ГУП "ЖКХ РС(Я)" Среднеколымский филиал</t>
  </si>
  <si>
    <t>26507209</t>
  </si>
  <si>
    <t>ГУП "ЖКХ РС(Я)" Сунтарский филиал</t>
  </si>
  <si>
    <t>142402001</t>
  </si>
  <si>
    <t>26507211</t>
  </si>
  <si>
    <t>ГУП "ЖКХ РС(Я)" Таттинский филиал</t>
  </si>
  <si>
    <t>142502001</t>
  </si>
  <si>
    <t>26507215</t>
  </si>
  <si>
    <t>ГУП "ЖКХ РС(Я)" Томпонский филиал</t>
  </si>
  <si>
    <t>142603001</t>
  </si>
  <si>
    <t>26507219</t>
  </si>
  <si>
    <t>ГУП "ЖКХ РС(Я)" Усть-Алданский филиал</t>
  </si>
  <si>
    <t>142703001</t>
  </si>
  <si>
    <t>26507235</t>
  </si>
  <si>
    <t>ГУП "ЖКХ РС(Я)" Хангаласский филиал</t>
  </si>
  <si>
    <t>143103001</t>
  </si>
  <si>
    <t>26507239</t>
  </si>
  <si>
    <t>ГУП "ЖКХ РС(Я)" Чурапчинский филиал</t>
  </si>
  <si>
    <t>143032001</t>
  </si>
  <si>
    <t>26507243</t>
  </si>
  <si>
    <t>ГУП "ЖКХ РС(Я)" Эвено-Бытантайский филиал</t>
  </si>
  <si>
    <t>143202001</t>
  </si>
  <si>
    <t>26626734</t>
  </si>
  <si>
    <t>ГУП "ЖКХ РС(Я)" филиал "Коммункомплектация"</t>
  </si>
  <si>
    <t>143201002</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</si>
  <si>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</si>
  <si>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</si>
  <si>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</si>
  <si>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</si>
  <si>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26530078</t>
  </si>
  <si>
    <t>Дальневосточная дирекция по энергообеспечению – СП Трансэнерго - филиала ОАО "РЖД"</t>
  </si>
  <si>
    <t>272145007</t>
  </si>
  <si>
    <t>28058949</t>
  </si>
  <si>
    <t>ЖСПК "Энергетик"</t>
  </si>
  <si>
    <t>1435153565</t>
  </si>
  <si>
    <t>23-01-2013 00:00:00</t>
  </si>
  <si>
    <t>31030732</t>
  </si>
  <si>
    <t>ЖЭ(К)О № 7 филиала ФГБУ «ЦЖКУ» Минобороны России по ВВО</t>
  </si>
  <si>
    <t>7729314745</t>
  </si>
  <si>
    <t>753645002</t>
  </si>
  <si>
    <t>31448480</t>
  </si>
  <si>
    <t>ИП "Курганова И.Г."</t>
  </si>
  <si>
    <t>142100652234</t>
  </si>
  <si>
    <t>18-02-2019 00:00:00</t>
  </si>
  <si>
    <t>30352196</t>
  </si>
  <si>
    <t>ИП "Яковлев С.М."</t>
  </si>
  <si>
    <t>143506006321</t>
  </si>
  <si>
    <t>21-10-2004 00:00:00</t>
  </si>
  <si>
    <t>31024200</t>
  </si>
  <si>
    <t>ИП Архангельский Д. Д.</t>
  </si>
  <si>
    <t>141002816700</t>
  </si>
  <si>
    <t>29-03-2016 00:00:00</t>
  </si>
  <si>
    <t>31437053</t>
  </si>
  <si>
    <t>ИП Богданчиков С.В.</t>
  </si>
  <si>
    <t>870600602099</t>
  </si>
  <si>
    <t>20-03-2009 00:00:00</t>
  </si>
  <si>
    <t>31707475</t>
  </si>
  <si>
    <t>ИП ГАБЫШЕВ ТИМОФЕЙ АЛЕКСЕЕВИЧ</t>
  </si>
  <si>
    <t>142101857925</t>
  </si>
  <si>
    <t>16-10-2013 00:00:00</t>
  </si>
  <si>
    <t>28883073</t>
  </si>
  <si>
    <t>ИП Габышев А.Г.</t>
  </si>
  <si>
    <t>142103192842</t>
  </si>
  <si>
    <t>14-02-2014 00:00:00</t>
  </si>
  <si>
    <t>28046800</t>
  </si>
  <si>
    <t>ИП Габышев В.А.</t>
  </si>
  <si>
    <t>142100532427</t>
  </si>
  <si>
    <t>17-01-2013 00:00:00</t>
  </si>
  <si>
    <t>28047028</t>
  </si>
  <si>
    <t>ИП Габышев М.В.</t>
  </si>
  <si>
    <t>142100409590</t>
  </si>
  <si>
    <t>31643515</t>
  </si>
  <si>
    <t>ИП КОЖОВ Э.А.</t>
  </si>
  <si>
    <t>142102751400</t>
  </si>
  <si>
    <t>25-02-2014 00:00:00</t>
  </si>
  <si>
    <t>31446224</t>
  </si>
  <si>
    <t>ИП Кадашников Е.А.</t>
  </si>
  <si>
    <t>142102706245</t>
  </si>
  <si>
    <t>07-11-2018 00:00:00</t>
  </si>
  <si>
    <t>31508626</t>
  </si>
  <si>
    <t>ИП Лыткин А.В.</t>
  </si>
  <si>
    <t>142100544084</t>
  </si>
  <si>
    <t>23-10-2020 00:00:00</t>
  </si>
  <si>
    <t>31689360</t>
  </si>
  <si>
    <t>ИП Мамонтов Владимир Владиленович</t>
  </si>
  <si>
    <t>142101831211</t>
  </si>
  <si>
    <t>25-12-2007 00:00:00</t>
  </si>
  <si>
    <t>30477710</t>
  </si>
  <si>
    <t>ИП Негреба Н.П.</t>
  </si>
  <si>
    <t>141800008827</t>
  </si>
  <si>
    <t>28046301</t>
  </si>
  <si>
    <t>ИП Ноговицына Н.И.</t>
  </si>
  <si>
    <t>142100153500</t>
  </si>
  <si>
    <t>31354597</t>
  </si>
  <si>
    <t>ИП Пичугин М.В.</t>
  </si>
  <si>
    <t>142101842774</t>
  </si>
  <si>
    <t>19-02-2013 00:00:00</t>
  </si>
  <si>
    <t>28046972</t>
  </si>
  <si>
    <t>ИП Попов В.В.</t>
  </si>
  <si>
    <t>142101734440</t>
  </si>
  <si>
    <t>11-04-2008 00:00:00</t>
  </si>
  <si>
    <t>31443676</t>
  </si>
  <si>
    <t>ИП Роев А.А.</t>
  </si>
  <si>
    <t>142103156107</t>
  </si>
  <si>
    <t>31-07-2020 00:00:00</t>
  </si>
  <si>
    <t>31768905</t>
  </si>
  <si>
    <t>ИП Роева Е.Н.</t>
  </si>
  <si>
    <t>142103377346</t>
  </si>
  <si>
    <t>10-10-2024 00:00:00</t>
  </si>
  <si>
    <t>28046476</t>
  </si>
  <si>
    <t>ИП Романов В.А.</t>
  </si>
  <si>
    <t>142103151846</t>
  </si>
  <si>
    <t>28134234</t>
  </si>
  <si>
    <t>ИП Рудых О.Н.</t>
  </si>
  <si>
    <t>142101316919</t>
  </si>
  <si>
    <t>18-03-2013 00:00:00</t>
  </si>
  <si>
    <t>31889222</t>
  </si>
  <si>
    <t>ИП Столярова Я.А.</t>
  </si>
  <si>
    <t>141302050022</t>
  </si>
  <si>
    <t>19-09-2024 00:00:00</t>
  </si>
  <si>
    <t>31740526</t>
  </si>
  <si>
    <t>ИП Тагасова М.Р.</t>
  </si>
  <si>
    <t>142701758482</t>
  </si>
  <si>
    <t>29-06-2018 00:00:00</t>
  </si>
  <si>
    <t>31773835</t>
  </si>
  <si>
    <t>ИП Терентьев А.А.</t>
  </si>
  <si>
    <t>142103187176</t>
  </si>
  <si>
    <t>25-11-2024 00:00:00</t>
  </si>
  <si>
    <t>28046614</t>
  </si>
  <si>
    <t>ИП Тимершина Н.В.</t>
  </si>
  <si>
    <t>142101474513</t>
  </si>
  <si>
    <t>31749296</t>
  </si>
  <si>
    <t>ИП Шептякова Т.Л.</t>
  </si>
  <si>
    <t>142100770502</t>
  </si>
  <si>
    <t>28-01-2022 00:00:00</t>
  </si>
  <si>
    <t>31751687</t>
  </si>
  <si>
    <t>ЛЕНСКИЙ ФИЛИАЛ АО "ТЕПЛОЭНЕРГОСЕРВИС"</t>
  </si>
  <si>
    <t>141401001</t>
  </si>
  <si>
    <t>26-03-2024 00:00:00</t>
  </si>
  <si>
    <t>31639229</t>
  </si>
  <si>
    <t>МАУ "СЭГХ" МО "ГОРОД ОЛЕКМИНСК"</t>
  </si>
  <si>
    <t>1421009434</t>
  </si>
  <si>
    <t>142101001</t>
  </si>
  <si>
    <t>28-03-2012 00:00:00</t>
  </si>
  <si>
    <t>30999779</t>
  </si>
  <si>
    <t>МАУ "Сунтар"</t>
  </si>
  <si>
    <t>1424008816</t>
  </si>
  <si>
    <t>142401001</t>
  </si>
  <si>
    <t>09-01-2013 00:00:00</t>
  </si>
  <si>
    <t>26354181</t>
  </si>
  <si>
    <t>МУП "АПП"</t>
  </si>
  <si>
    <t>1402014118</t>
  </si>
  <si>
    <t>29-10-2003 00:00:00</t>
  </si>
  <si>
    <t>28117906</t>
  </si>
  <si>
    <t>МУП "Вилюит" МО "Город Вилюйск"</t>
  </si>
  <si>
    <t>1410005935</t>
  </si>
  <si>
    <t>141001001</t>
  </si>
  <si>
    <t>01-06-2007 00:00:00</t>
  </si>
  <si>
    <t>26354284</t>
  </si>
  <si>
    <t>МУП "Жатайтеплосеть"</t>
  </si>
  <si>
    <t>1435134185</t>
  </si>
  <si>
    <t>25-02-2003 00:00:00</t>
  </si>
  <si>
    <t>27820072</t>
  </si>
  <si>
    <t>МУП "Коммунальщик"</t>
  </si>
  <si>
    <t>1433027727</t>
  </si>
  <si>
    <t>143301001</t>
  </si>
  <si>
    <t>10-05-2012 00:00:00</t>
  </si>
  <si>
    <t>30958994</t>
  </si>
  <si>
    <t>МУП "ПТСК" ГО "город Якутск"</t>
  </si>
  <si>
    <t>1435321749</t>
  </si>
  <si>
    <t>05-06-2017 00:00:00</t>
  </si>
  <si>
    <t>30436653</t>
  </si>
  <si>
    <t>МУП "СЕЗ" ГО "Жатай"</t>
  </si>
  <si>
    <t>1435139271</t>
  </si>
  <si>
    <t>01-08-2003 00:00:00</t>
  </si>
  <si>
    <t>31857573</t>
  </si>
  <si>
    <t>МУП "ТЭС"</t>
  </si>
  <si>
    <t>1400048665</t>
  </si>
  <si>
    <t>140001001</t>
  </si>
  <si>
    <t>24-06-2025 00:00:00</t>
  </si>
  <si>
    <t>31004882</t>
  </si>
  <si>
    <t>МУП "ТехКоммунСервис"</t>
  </si>
  <si>
    <t>1415009299</t>
  </si>
  <si>
    <t>141501001</t>
  </si>
  <si>
    <t>25-10-2003 00:00:00</t>
  </si>
  <si>
    <t>28451150</t>
  </si>
  <si>
    <t>МУП «Жилкомсервис» ГО «Город Якутск»</t>
  </si>
  <si>
    <t>1435242617</t>
  </si>
  <si>
    <t>23-06-2011 00:00:00</t>
  </si>
  <si>
    <t>26354233</t>
  </si>
  <si>
    <t>ОАО "Дороги Усть-Алдана"</t>
  </si>
  <si>
    <t>1427008839</t>
  </si>
  <si>
    <t>142701001</t>
  </si>
  <si>
    <t>08-09-2005 00:00:00</t>
  </si>
  <si>
    <t>30992499</t>
  </si>
  <si>
    <t>ОАО "Медиа-Холдинг Якутия"</t>
  </si>
  <si>
    <t>1435186578</t>
  </si>
  <si>
    <t>16-04-2007 00:00:00</t>
  </si>
  <si>
    <t>31768349</t>
  </si>
  <si>
    <t>ООО "АРКТИК ЛАЙН"</t>
  </si>
  <si>
    <t>1435292985</t>
  </si>
  <si>
    <t>19-03-2015 00:00:00</t>
  </si>
  <si>
    <t>31773841</t>
  </si>
  <si>
    <t>ООО "АРМТЭК"</t>
  </si>
  <si>
    <t>1400032376</t>
  </si>
  <si>
    <t>29-02-2024 00:00:00</t>
  </si>
  <si>
    <t>31456575</t>
  </si>
  <si>
    <t>ООО "Аарыма ТЭК"</t>
  </si>
  <si>
    <t>1435345235</t>
  </si>
  <si>
    <t>26642947</t>
  </si>
  <si>
    <t>ООО "Автомобилист 2"</t>
  </si>
  <si>
    <t>1431011506</t>
  </si>
  <si>
    <t>01-12-2010 00:00:00</t>
  </si>
  <si>
    <t>30353229</t>
  </si>
  <si>
    <t>ООО "Алмазинвестстрой"</t>
  </si>
  <si>
    <t>1435230403</t>
  </si>
  <si>
    <t>13-07-2010 00:00:00</t>
  </si>
  <si>
    <t>27578621</t>
  </si>
  <si>
    <t>ООО "Альтаир"</t>
  </si>
  <si>
    <t>1431010502</t>
  </si>
  <si>
    <t>17-01-2012 00:00:00</t>
  </si>
  <si>
    <t>28829287</t>
  </si>
  <si>
    <t>ООО "Армон"</t>
  </si>
  <si>
    <t>1435217586</t>
  </si>
  <si>
    <t>08-10-2014 00:00:00</t>
  </si>
  <si>
    <t>26646834</t>
  </si>
  <si>
    <t>ООО "Арыылаах"</t>
  </si>
  <si>
    <t>1419007750</t>
  </si>
  <si>
    <t>21-12-2010 00:00:00</t>
  </si>
  <si>
    <t>26354186</t>
  </si>
  <si>
    <t>ООО "Ассоциация строителей АЯМ"</t>
  </si>
  <si>
    <t>1402045638</t>
  </si>
  <si>
    <t>773101001</t>
  </si>
  <si>
    <t>30-12-2004 00:00:00</t>
  </si>
  <si>
    <t>27328042</t>
  </si>
  <si>
    <t>ООО "Бэрдьигэс"</t>
  </si>
  <si>
    <t>1411004606</t>
  </si>
  <si>
    <t>141101001</t>
  </si>
  <si>
    <t>29-06-2010 00:00:00</t>
  </si>
  <si>
    <t>31043209</t>
  </si>
  <si>
    <t>ООО "Вилюйское ЖКХ"</t>
  </si>
  <si>
    <t>1410008125</t>
  </si>
  <si>
    <t>12-01-2017 00:00:00</t>
  </si>
  <si>
    <t>31365484</t>
  </si>
  <si>
    <t>ООО "ДВ Энерджи"</t>
  </si>
  <si>
    <t>1435275429</t>
  </si>
  <si>
    <t>18-12-2013 00:00:00</t>
  </si>
  <si>
    <t>26646772</t>
  </si>
  <si>
    <t>ООО "Дорожник"</t>
  </si>
  <si>
    <t>1430007810</t>
  </si>
  <si>
    <t>143001001</t>
  </si>
  <si>
    <t>24-04-2003 00:00:00</t>
  </si>
  <si>
    <t>30436144</t>
  </si>
  <si>
    <t>ООО "Дьулуур"</t>
  </si>
  <si>
    <t>1430011013</t>
  </si>
  <si>
    <t>29-12-2015 00:00:00</t>
  </si>
  <si>
    <t>30949616</t>
  </si>
  <si>
    <t>ООО "ЖКХ "АЛЬТЕРНАТИВА"</t>
  </si>
  <si>
    <t>1435309205</t>
  </si>
  <si>
    <t>10-06-2016 00:00:00</t>
  </si>
  <si>
    <t>31762504</t>
  </si>
  <si>
    <t>ООО "ЖКХ АЛЬТЕРНАТИВА"</t>
  </si>
  <si>
    <t>1400018533</t>
  </si>
  <si>
    <t>14-02-2023 00:00:00</t>
  </si>
  <si>
    <t>26801506</t>
  </si>
  <si>
    <t>ООО "Жилищно-коммунальный сервис"</t>
  </si>
  <si>
    <t>1424008397</t>
  </si>
  <si>
    <t>31-01-2011 00:00:00</t>
  </si>
  <si>
    <t>27571913</t>
  </si>
  <si>
    <t>ООО "Жилтехсервис"</t>
  </si>
  <si>
    <t>1410006939</t>
  </si>
  <si>
    <t>12-01-2012 00:00:00</t>
  </si>
  <si>
    <t>31061053</t>
  </si>
  <si>
    <t>ООО "ИТЭК"</t>
  </si>
  <si>
    <t>1435278116</t>
  </si>
  <si>
    <t>02-03-2018 00:00:00</t>
  </si>
  <si>
    <t>28796541</t>
  </si>
  <si>
    <t>ООО "Инкит"</t>
  </si>
  <si>
    <t>1422002287</t>
  </si>
  <si>
    <t>142201001</t>
  </si>
  <si>
    <t>11-08-2014 00:00:00</t>
  </si>
  <si>
    <t>31860592</t>
  </si>
  <si>
    <t>ООО "КОРОНА СЕВЕРА"</t>
  </si>
  <si>
    <t>1400045400</t>
  </si>
  <si>
    <t>26-03-2025 00:00:00</t>
  </si>
  <si>
    <t>31529540</t>
  </si>
  <si>
    <t>ООО "КСК ЛИДЕР"</t>
  </si>
  <si>
    <t>1419008779</t>
  </si>
  <si>
    <t>06-05-2016 00:00:00</t>
  </si>
  <si>
    <t>31833087</t>
  </si>
  <si>
    <t>ООО "КЫСЫЛ-СЫР СЕРВИС"</t>
  </si>
  <si>
    <t>1417007547</t>
  </si>
  <si>
    <t>20-06-2008 00:00:00</t>
  </si>
  <si>
    <t>28072080</t>
  </si>
  <si>
    <t>ООО "Квартал  50–услуги"</t>
  </si>
  <si>
    <t>1435167790</t>
  </si>
  <si>
    <t>03-02-2006 00:00:00</t>
  </si>
  <si>
    <t>28072048</t>
  </si>
  <si>
    <t>ООО "Квартал 103-услуги"</t>
  </si>
  <si>
    <t>1435167783</t>
  </si>
  <si>
    <t>28072092</t>
  </si>
  <si>
    <t>ООО "Квартал 36"</t>
  </si>
  <si>
    <t>1435255630</t>
  </si>
  <si>
    <t>26-06-2012 00:00:00</t>
  </si>
  <si>
    <t>31457064</t>
  </si>
  <si>
    <t>ООО "Киров-строй"</t>
  </si>
  <si>
    <t>1419008183</t>
  </si>
  <si>
    <t>15-02-2013 00:00:00</t>
  </si>
  <si>
    <t>27899701</t>
  </si>
  <si>
    <t>ООО "Коммунальный сервис"</t>
  </si>
  <si>
    <t>1425005511</t>
  </si>
  <si>
    <t>17-10-2012 00:00:00</t>
  </si>
  <si>
    <t>26354208</t>
  </si>
  <si>
    <t>ООО "Коммунтеплосервис"</t>
  </si>
  <si>
    <t>1415010632</t>
  </si>
  <si>
    <t>22-12-2006 00:00:00</t>
  </si>
  <si>
    <t>26642915</t>
  </si>
  <si>
    <t>ООО "Кыым"</t>
  </si>
  <si>
    <t>1419007729</t>
  </si>
  <si>
    <t>26-11-2010 00:00:00</t>
  </si>
  <si>
    <t>26354283</t>
  </si>
  <si>
    <t>ООО "Либор"</t>
  </si>
  <si>
    <t>1435131988</t>
  </si>
  <si>
    <t>18-12-2002 00:00:00</t>
  </si>
  <si>
    <t>30353971</t>
  </si>
  <si>
    <t>ООО "МАКСИМУС+"</t>
  </si>
  <si>
    <t>1435296203</t>
  </si>
  <si>
    <t>04-06-2015 00:00:00</t>
  </si>
  <si>
    <t>28793701</t>
  </si>
  <si>
    <t>ООО "МП КК НР"</t>
  </si>
  <si>
    <t>1434046916</t>
  </si>
  <si>
    <t>143401001</t>
  </si>
  <si>
    <t>23-06-2014 00:00:00</t>
  </si>
  <si>
    <t>31802526</t>
  </si>
  <si>
    <t>ООО "МУП ТЭК"</t>
  </si>
  <si>
    <t>1400042649</t>
  </si>
  <si>
    <t>28-12-2024 00:00:00</t>
  </si>
  <si>
    <t>26354248</t>
  </si>
  <si>
    <t>ООО "Магистраль Беркакит"</t>
  </si>
  <si>
    <t>1434034212</t>
  </si>
  <si>
    <t>28-05-2007 00:00:00</t>
  </si>
  <si>
    <t>26354207</t>
  </si>
  <si>
    <t>ООО "Мегино - Кангаласские автодороги"</t>
  </si>
  <si>
    <t>1415013489</t>
  </si>
  <si>
    <t>15-07-2015 00:00:00</t>
  </si>
  <si>
    <t>26642156</t>
  </si>
  <si>
    <t>ООО "НерюнгриТеплоНаладка"</t>
  </si>
  <si>
    <t>1434026780</t>
  </si>
  <si>
    <t>17-10-2002 00:00:00</t>
  </si>
  <si>
    <t>28283731</t>
  </si>
  <si>
    <t>ООО "Нидстрой"</t>
  </si>
  <si>
    <t>1435262571</t>
  </si>
  <si>
    <t>30852052</t>
  </si>
  <si>
    <t>ООО "Нидстрой+"</t>
  </si>
  <si>
    <t>1435306356</t>
  </si>
  <si>
    <t>28-03-2016 00:00:00</t>
  </si>
  <si>
    <t>31083727</t>
  </si>
  <si>
    <t>ООО "Орион"</t>
  </si>
  <si>
    <t>1402015640</t>
  </si>
  <si>
    <t>07-02-2012 00:00:00</t>
  </si>
  <si>
    <t>31340382</t>
  </si>
  <si>
    <t>ООО "Основа"</t>
  </si>
  <si>
    <t>1435307046</t>
  </si>
  <si>
    <t>14-06-2016 00:00:00</t>
  </si>
  <si>
    <t>31717844</t>
  </si>
  <si>
    <t>ООО "ПРОМЕТЕЙ-СЕРВИС"</t>
  </si>
  <si>
    <t>1435290709</t>
  </si>
  <si>
    <t>29-01-2015 00:00:00</t>
  </si>
  <si>
    <t>30856495</t>
  </si>
  <si>
    <t>ООО "ПТВС"</t>
  </si>
  <si>
    <t>1433029788</t>
  </si>
  <si>
    <t>29-06-2016 00:00:00</t>
  </si>
  <si>
    <t>30378674</t>
  </si>
  <si>
    <t>ООО "Промвентиляция"</t>
  </si>
  <si>
    <t>1402011195</t>
  </si>
  <si>
    <t>15-10-2002 00:00:00</t>
  </si>
  <si>
    <t>28149434</t>
  </si>
  <si>
    <t>ООО "Прометей"</t>
  </si>
  <si>
    <t>1408002599</t>
  </si>
  <si>
    <t>140801001</t>
  </si>
  <si>
    <t>18-03-2003 00:00:00</t>
  </si>
  <si>
    <t>28828208</t>
  </si>
  <si>
    <t>ООО "РЕГУЛ"</t>
  </si>
  <si>
    <t>5403340859</t>
  </si>
  <si>
    <t>540301001</t>
  </si>
  <si>
    <t>20-09-2012 00:00:00</t>
  </si>
  <si>
    <t>26506824</t>
  </si>
  <si>
    <t>ООО "РСО Эрэл"</t>
  </si>
  <si>
    <t>1422001879</t>
  </si>
  <si>
    <t>19-05-2009 00:00:00</t>
  </si>
  <si>
    <t>26354286</t>
  </si>
  <si>
    <t>ООО "Роскатех"</t>
  </si>
  <si>
    <t>1435139850</t>
  </si>
  <si>
    <t>21-08-2003 00:00:00</t>
  </si>
  <si>
    <t>26354180</t>
  </si>
  <si>
    <t>ООО "Рубин"</t>
  </si>
  <si>
    <t>1402012833</t>
  </si>
  <si>
    <t>10-09-2002 00:00:00</t>
  </si>
  <si>
    <t>31835753</t>
  </si>
  <si>
    <t>ООО "СЕВЕРНОЕ ЕДИНСТВО"</t>
  </si>
  <si>
    <t>1435349776</t>
  </si>
  <si>
    <t>04-02-2020 00:00:00</t>
  </si>
  <si>
    <t>28544145</t>
  </si>
  <si>
    <t>ООО "СЗ Трансстрой"</t>
  </si>
  <si>
    <t>1435203400</t>
  </si>
  <si>
    <t>30-05-2008 00:00:00</t>
  </si>
  <si>
    <t>31412140</t>
  </si>
  <si>
    <t>ООО "СТК-58"</t>
  </si>
  <si>
    <t>1435342040</t>
  </si>
  <si>
    <t>31891063</t>
  </si>
  <si>
    <t>ООО "СТЭК"</t>
  </si>
  <si>
    <t>1400053658</t>
  </si>
  <si>
    <t>06-11-2025 00:00:00</t>
  </si>
  <si>
    <t>31754480</t>
  </si>
  <si>
    <t>ООО "СТЭП"</t>
  </si>
  <si>
    <t>1400020282</t>
  </si>
  <si>
    <t>30-03-2023 00:00:00</t>
  </si>
  <si>
    <t>31342178</t>
  </si>
  <si>
    <t>ООО "Сайдам"</t>
  </si>
  <si>
    <t>1424009506</t>
  </si>
  <si>
    <t>21-11-2017 00:00:00</t>
  </si>
  <si>
    <t>26506858</t>
  </si>
  <si>
    <t>ООО "СахаЭлектроГаз"</t>
  </si>
  <si>
    <t>1435129788</t>
  </si>
  <si>
    <t>09-09-2002 00:00:00</t>
  </si>
  <si>
    <t>30353663</t>
  </si>
  <si>
    <t>ООО "Северные Коммунальные Системы"</t>
  </si>
  <si>
    <t>1435265036</t>
  </si>
  <si>
    <t>04-03-2013 00:00:00</t>
  </si>
  <si>
    <t>26642576</t>
  </si>
  <si>
    <t>ООО "Совхоз Пятилетка"</t>
  </si>
  <si>
    <t>1402048460</t>
  </si>
  <si>
    <t>04-02-2009 00:00:00</t>
  </si>
  <si>
    <t>28053248</t>
  </si>
  <si>
    <t>ООО "СпецСервис"</t>
  </si>
  <si>
    <t>1427010370</t>
  </si>
  <si>
    <t>23-12-2010 00:00:00</t>
  </si>
  <si>
    <t>28037235</t>
  </si>
  <si>
    <t>ООО "Сталкер"</t>
  </si>
  <si>
    <t>1410007322</t>
  </si>
  <si>
    <t>14-01-2013 00:00:00</t>
  </si>
  <si>
    <t>30858584</t>
  </si>
  <si>
    <t>ООО "Стройтехмонтаж"</t>
  </si>
  <si>
    <t>1410007795</t>
  </si>
  <si>
    <t>05-06-2015 00:00:00</t>
  </si>
  <si>
    <t>31040853</t>
  </si>
  <si>
    <t>ООО "СунтарТеплоСнаб"</t>
  </si>
  <si>
    <t>1435325856</t>
  </si>
  <si>
    <t>19-10-2017 00:00:00</t>
  </si>
  <si>
    <t>26642917</t>
  </si>
  <si>
    <t>ООО "Сунтарцеолит"</t>
  </si>
  <si>
    <t>1424000895</t>
  </si>
  <si>
    <t>31617987</t>
  </si>
  <si>
    <t>ООО "ТЕПЛОСЕРВИС"</t>
  </si>
  <si>
    <t>1410008358</t>
  </si>
  <si>
    <t>08-02-2018 00:00:00</t>
  </si>
  <si>
    <t>31585172</t>
  </si>
  <si>
    <t>ООО "ТЕПЛОСЕТЬ"</t>
  </si>
  <si>
    <t>1435245840</t>
  </si>
  <si>
    <t>17-10-2011 00:00:00</t>
  </si>
  <si>
    <t>31191155</t>
  </si>
  <si>
    <t>ООО "ТРАНСМОНТАЖ"</t>
  </si>
  <si>
    <t>1421009106</t>
  </si>
  <si>
    <t>08-11-2010 00:00:00</t>
  </si>
  <si>
    <t>31824972</t>
  </si>
  <si>
    <t>ООО "ТЭЦ+"</t>
  </si>
  <si>
    <t>1400036187</t>
  </si>
  <si>
    <t>13-06-2024 00:00:00</t>
  </si>
  <si>
    <t>28046079</t>
  </si>
  <si>
    <t>ООО "Тепло+"</t>
  </si>
  <si>
    <t>1424008728</t>
  </si>
  <si>
    <t>31297211</t>
  </si>
  <si>
    <t>ООО "ТеплоСтройСаха"</t>
  </si>
  <si>
    <t>1425006025</t>
  </si>
  <si>
    <t>04-03-2019 00:00:00</t>
  </si>
  <si>
    <t>28283775</t>
  </si>
  <si>
    <t>ООО "ТеплоЭнергоКомплекс"</t>
  </si>
  <si>
    <t>1414016110</t>
  </si>
  <si>
    <t>07-10-2013 00:00:00</t>
  </si>
  <si>
    <t>31531341</t>
  </si>
  <si>
    <t>ООО "Тепломедсервис ПЛЮС"</t>
  </si>
  <si>
    <t>1435320135</t>
  </si>
  <si>
    <t>17-04-2017 00:00:00</t>
  </si>
  <si>
    <t>28147485</t>
  </si>
  <si>
    <t>ООО "Теплосеть+"</t>
  </si>
  <si>
    <t>1435265815</t>
  </si>
  <si>
    <t>16-05-2013 00:00:00</t>
  </si>
  <si>
    <t>30933901</t>
  </si>
  <si>
    <t>ООО "Теплоснаб"</t>
  </si>
  <si>
    <t>1410008157</t>
  </si>
  <si>
    <t>16-02-2017 00:00:00</t>
  </si>
  <si>
    <t>28046152</t>
  </si>
  <si>
    <t>ООО "Теплострой"</t>
  </si>
  <si>
    <t>1424008710</t>
  </si>
  <si>
    <t>20-04-2012 00:00:00</t>
  </si>
  <si>
    <t>26801463</t>
  </si>
  <si>
    <t>ООО "Теплостройкомплекс"</t>
  </si>
  <si>
    <t>1414014680</t>
  </si>
  <si>
    <t>27687104</t>
  </si>
  <si>
    <t>ООО "Теплоэнергия-98"</t>
  </si>
  <si>
    <t>1435248111</t>
  </si>
  <si>
    <t>08-12-2011 00:00:00</t>
  </si>
  <si>
    <t>26497668</t>
  </si>
  <si>
    <t>ООО "Транснефтьэнерго"</t>
  </si>
  <si>
    <t>7703552167</t>
  </si>
  <si>
    <t>772301001</t>
  </si>
  <si>
    <t>01-07-2009 00:00:00</t>
  </si>
  <si>
    <t>27523394</t>
  </si>
  <si>
    <t>ООО "Трест-2"</t>
  </si>
  <si>
    <t>1410004674</t>
  </si>
  <si>
    <t>25-05-2011 00:00:00</t>
  </si>
  <si>
    <t>31857466</t>
  </si>
  <si>
    <t>ООО "УК ГОРОДСКОЙ СЕРВИС"</t>
  </si>
  <si>
    <t>1400031492</t>
  </si>
  <si>
    <t>13-02-2024 00:00:00</t>
  </si>
  <si>
    <t>28883067</t>
  </si>
  <si>
    <t>ООО "УК КОМФОРТ"</t>
  </si>
  <si>
    <t>1421009755</t>
  </si>
  <si>
    <t>23-01-2015 00:00:00</t>
  </si>
  <si>
    <t>28814672</t>
  </si>
  <si>
    <t>ООО "УК Тепло+"</t>
  </si>
  <si>
    <t>1426333459</t>
  </si>
  <si>
    <t>142601001</t>
  </si>
  <si>
    <t>21-08-2014 00:00:00</t>
  </si>
  <si>
    <t>31697676</t>
  </si>
  <si>
    <t>ООО "УЮТ"</t>
  </si>
  <si>
    <t>1400025869</t>
  </si>
  <si>
    <t>24-08-2023 00:00:00</t>
  </si>
  <si>
    <t>28868809</t>
  </si>
  <si>
    <t>ООО "ХОТ"</t>
  </si>
  <si>
    <t>1424008990</t>
  </si>
  <si>
    <t>01-01-2015 00:00:00</t>
  </si>
  <si>
    <t>28829257</t>
  </si>
  <si>
    <t>ООО "ЭкоИнвест"</t>
  </si>
  <si>
    <t>1414015885</t>
  </si>
  <si>
    <t>17-11-2014 00:00:00</t>
  </si>
  <si>
    <t>30953125</t>
  </si>
  <si>
    <t>ООО "Экогрупп"</t>
  </si>
  <si>
    <t>1435319468</t>
  </si>
  <si>
    <t>31-03-2017 00:00:00</t>
  </si>
  <si>
    <t>26354191</t>
  </si>
  <si>
    <t>ООО "Элээн"</t>
  </si>
  <si>
    <t>1410000528</t>
  </si>
  <si>
    <t>26-12-2002 00:00:00</t>
  </si>
  <si>
    <t>26354281</t>
  </si>
  <si>
    <t>ООО "Энергия"</t>
  </si>
  <si>
    <t>1435129957</t>
  </si>
  <si>
    <t>03-09-2002 00:00:00</t>
  </si>
  <si>
    <t>26354280</t>
  </si>
  <si>
    <t>ООО "Энергия-2002"</t>
  </si>
  <si>
    <t>1435127290</t>
  </si>
  <si>
    <t>30-04-2002 00:00:00</t>
  </si>
  <si>
    <t>26354249</t>
  </si>
  <si>
    <t>ООО "Энергорайон Чульман"</t>
  </si>
  <si>
    <t>1434034798</t>
  </si>
  <si>
    <t>30-08-2007 00:00:00</t>
  </si>
  <si>
    <t>26506864</t>
  </si>
  <si>
    <t>ООО "Энерготэк"</t>
  </si>
  <si>
    <t>1435197065</t>
  </si>
  <si>
    <t>23-01-2008 00:00:00</t>
  </si>
  <si>
    <t>26354194</t>
  </si>
  <si>
    <t>ООО "Эрэл"</t>
  </si>
  <si>
    <t>1410004924</t>
  </si>
  <si>
    <t>21-11-2002 00:00:00</t>
  </si>
  <si>
    <t>28829474</t>
  </si>
  <si>
    <t>ООО "Юпитер"</t>
  </si>
  <si>
    <t>1435278606</t>
  </si>
  <si>
    <t>05-03-2014 00:00:00</t>
  </si>
  <si>
    <t>30994875</t>
  </si>
  <si>
    <t>ООО "Якутский гормолзавод"</t>
  </si>
  <si>
    <t>1435322911</t>
  </si>
  <si>
    <t>13-07-2017 00:00:00</t>
  </si>
  <si>
    <t>26354296</t>
  </si>
  <si>
    <t>ООО "Якуттеплогаз"</t>
  </si>
  <si>
    <t>1435174357</t>
  </si>
  <si>
    <t>14-06-2006 00:00:00</t>
  </si>
  <si>
    <t>31515138</t>
  </si>
  <si>
    <t>ООО «ВЭС»</t>
  </si>
  <si>
    <t>1435355770</t>
  </si>
  <si>
    <t>26-10-2020 00:00:00</t>
  </si>
  <si>
    <t>31446107</t>
  </si>
  <si>
    <t>ООО «ПроэкД»</t>
  </si>
  <si>
    <t>1435262613</t>
  </si>
  <si>
    <t>10-01-2013 00:00:00</t>
  </si>
  <si>
    <t>31463362</t>
  </si>
  <si>
    <t>ООО «Санакэт»</t>
  </si>
  <si>
    <t>1435222522</t>
  </si>
  <si>
    <t>02-12-2009 00:00:00</t>
  </si>
  <si>
    <t>30414101</t>
  </si>
  <si>
    <t>ООО «ТрастГарант»</t>
  </si>
  <si>
    <t>1435244170</t>
  </si>
  <si>
    <t>16-08-2011 00:00:00</t>
  </si>
  <si>
    <t>30867861</t>
  </si>
  <si>
    <t>ООО «ЭНЕРГОСТРОЙКОМПЛЕКС»</t>
  </si>
  <si>
    <t>1414005703</t>
  </si>
  <si>
    <t>25-07-2015 00:00:00</t>
  </si>
  <si>
    <t>31296521</t>
  </si>
  <si>
    <t>ООО МТС "Верхневилюйск"</t>
  </si>
  <si>
    <t>1407008527</t>
  </si>
  <si>
    <t>140701001</t>
  </si>
  <si>
    <t>22-01-2019 00:00:00</t>
  </si>
  <si>
    <t>31410362</t>
  </si>
  <si>
    <t>ООО НПП "Ником"</t>
  </si>
  <si>
    <t>1435217233</t>
  </si>
  <si>
    <t>19-06-2009 00:00:00</t>
  </si>
  <si>
    <t>26354179</t>
  </si>
  <si>
    <t>ООО О "Содействие развитию предпринимательства"</t>
  </si>
  <si>
    <t>1402011170</t>
  </si>
  <si>
    <t>15-07-1999 00:00:00</t>
  </si>
  <si>
    <t>26559789</t>
  </si>
  <si>
    <t>ООО Рудник "Дуэт"</t>
  </si>
  <si>
    <t>1428009578</t>
  </si>
  <si>
    <t>142801001</t>
  </si>
  <si>
    <t>28461670</t>
  </si>
  <si>
    <t>ООО СЗ РП "ЯКУТСК"</t>
  </si>
  <si>
    <t>1435130166</t>
  </si>
  <si>
    <t>24-01-2014 00:00:00</t>
  </si>
  <si>
    <t>31521436</t>
  </si>
  <si>
    <t>ООО Ситим-Беченча</t>
  </si>
  <si>
    <t>1414017850</t>
  </si>
  <si>
    <t>05-05-2021 00:00:00</t>
  </si>
  <si>
    <t>30387945</t>
  </si>
  <si>
    <t>ООО ТСЖ "Уют"</t>
  </si>
  <si>
    <t>1430010115</t>
  </si>
  <si>
    <t>20-10-2011 00:00:00</t>
  </si>
  <si>
    <t>26506894</t>
  </si>
  <si>
    <t>ООО УК "Алпекс+"</t>
  </si>
  <si>
    <t>1407007523</t>
  </si>
  <si>
    <t>01-04-2011 00:00:00</t>
  </si>
  <si>
    <t>31092194</t>
  </si>
  <si>
    <t>ООО УК "Гармония"</t>
  </si>
  <si>
    <t>1435304380</t>
  </si>
  <si>
    <t>10-02-2016 00:00:00</t>
  </si>
  <si>
    <t>27964285</t>
  </si>
  <si>
    <t>ООО УК "Жилищный стандарт"</t>
  </si>
  <si>
    <t>1435254490</t>
  </si>
  <si>
    <t>23-05-2012 00:00:00</t>
  </si>
  <si>
    <t>31831088</t>
  </si>
  <si>
    <t>ООО УК "ПИТ"</t>
  </si>
  <si>
    <t>1400044163</t>
  </si>
  <si>
    <t>17-02-2025 00:00:00</t>
  </si>
  <si>
    <t>31858444</t>
  </si>
  <si>
    <t>ООО УК "Теплый дом"</t>
  </si>
  <si>
    <t>1431010407</t>
  </si>
  <si>
    <t>14-07-2025 00:00:00</t>
  </si>
  <si>
    <t>30883602</t>
  </si>
  <si>
    <t>ООО УК "Уютный дом"</t>
  </si>
  <si>
    <t>1431013077</t>
  </si>
  <si>
    <t>04-07-2016 00:00:00</t>
  </si>
  <si>
    <t>30358218</t>
  </si>
  <si>
    <t>ООО УК ЖКХ "Бюджетник"</t>
  </si>
  <si>
    <t>1435270910</t>
  </si>
  <si>
    <t>12-08-2013 00:00:00</t>
  </si>
  <si>
    <t>28791725</t>
  </si>
  <si>
    <t>ООО Управляющая компания "М*К"</t>
  </si>
  <si>
    <t>1421009635</t>
  </si>
  <si>
    <t>28-01-2014 00:00:00</t>
  </si>
  <si>
    <t>26507188</t>
  </si>
  <si>
    <t>Оймяконский филиал АО "Теплоэнергосервис"</t>
  </si>
  <si>
    <t>28-07-2007 00:00:00</t>
  </si>
  <si>
    <t>26506854</t>
  </si>
  <si>
    <t>ПАО "Ростелеком"</t>
  </si>
  <si>
    <t>7707049388</t>
  </si>
  <si>
    <t>143543001</t>
  </si>
  <si>
    <t>26506870</t>
  </si>
  <si>
    <t>ПАО "ЯТЭК"</t>
  </si>
  <si>
    <t>1435032049</t>
  </si>
  <si>
    <t>20-11-2002 00:00:00</t>
  </si>
  <si>
    <t>26318711</t>
  </si>
  <si>
    <t>ПАО "Якутскэнерго"</t>
  </si>
  <si>
    <t>1435028701</t>
  </si>
  <si>
    <t>775050001</t>
  </si>
  <si>
    <t>25-07-1996 00:00:00</t>
  </si>
  <si>
    <t>26651639</t>
  </si>
  <si>
    <t>ПАО "Якутскэнерго" ЗЭC</t>
  </si>
  <si>
    <t>26796105</t>
  </si>
  <si>
    <t>ПАО "Якутскэнерго" ЦЭС</t>
  </si>
  <si>
    <t>143502003</t>
  </si>
  <si>
    <t>12-05-2005 00:00:00</t>
  </si>
  <si>
    <t>26796068</t>
  </si>
  <si>
    <t>ПАО "Якутскэнерго" филиал "ЯГРЭС"</t>
  </si>
  <si>
    <t>26796082</t>
  </si>
  <si>
    <t>ПАО "Якутскэнерго" филиал "ЯТЭЦ"</t>
  </si>
  <si>
    <t>143502002</t>
  </si>
  <si>
    <t>26354265</t>
  </si>
  <si>
    <t>ПК "Якутское потребительское общество"</t>
  </si>
  <si>
    <t>1435036759</t>
  </si>
  <si>
    <t>08-09-1998 00:00:00</t>
  </si>
  <si>
    <t>31037921</t>
  </si>
  <si>
    <t>ПК «Мегинострой»</t>
  </si>
  <si>
    <t>1415007950</t>
  </si>
  <si>
    <t>29-04-2002 00:00:00</t>
  </si>
  <si>
    <t>26354192</t>
  </si>
  <si>
    <t>ПОУ ВТШ РО ДОСААФ России РС(Я)</t>
  </si>
  <si>
    <t>1410001151</t>
  </si>
  <si>
    <t>26-01-2000 00:00:00</t>
  </si>
  <si>
    <t>26646975</t>
  </si>
  <si>
    <t>Производственный кооператив (старательская артель) "Поиск"</t>
  </si>
  <si>
    <t>1428002389</t>
  </si>
  <si>
    <t>26354285</t>
  </si>
  <si>
    <t>ТСЖ "ПОИ-36"</t>
  </si>
  <si>
    <t>1435134690</t>
  </si>
  <si>
    <t>11-03-2003 00:00:00</t>
  </si>
  <si>
    <t>28867681</t>
  </si>
  <si>
    <t>УГРС АО "Сахатранснефтегаз"</t>
  </si>
  <si>
    <t>1435142972</t>
  </si>
  <si>
    <t>143545002</t>
  </si>
  <si>
    <t>17-12-2003 00:00:00</t>
  </si>
  <si>
    <t>26810914</t>
  </si>
  <si>
    <t>УК ООО "Сокол"</t>
  </si>
  <si>
    <t>1410006946</t>
  </si>
  <si>
    <t>11-02-2011 00:00:00</t>
  </si>
  <si>
    <t>26354287</t>
  </si>
  <si>
    <t>УТС АО "Сахатранснефтегаз"</t>
  </si>
  <si>
    <t>15-05-2014 00:00:00</t>
  </si>
  <si>
    <t>26507223</t>
  </si>
  <si>
    <t>Усть-Майский филиал АО "Теплоэнергосервис"</t>
  </si>
  <si>
    <t>142802001</t>
  </si>
  <si>
    <t>26507227</t>
  </si>
  <si>
    <t>Усть-Янский филиал АО "Теплоэнергосервис"</t>
  </si>
  <si>
    <t>142903002</t>
  </si>
  <si>
    <t>26354267</t>
  </si>
  <si>
    <t>ФГБОУ ВО Арктический ГАТУ</t>
  </si>
  <si>
    <t>1435047359</t>
  </si>
  <si>
    <t>22-06-1994 00:00:00</t>
  </si>
  <si>
    <t>26506822</t>
  </si>
  <si>
    <t>ФГБУ "Государственный природный заповедник "Олекминский"</t>
  </si>
  <si>
    <t>1421002245</t>
  </si>
  <si>
    <t>30926365</t>
  </si>
  <si>
    <t>ФГБУ «ЦЖКУ» МО РФ (Филиал ФГБУ «ЦЖКУ» МО РФ по ВВО)</t>
  </si>
  <si>
    <t>272443001</t>
  </si>
  <si>
    <t>20-03-2017 00:00:00</t>
  </si>
  <si>
    <t>26506884</t>
  </si>
  <si>
    <t>ФКП "Аэропорты Севера"</t>
  </si>
  <si>
    <t>1435146293</t>
  </si>
  <si>
    <t>26-03-2004 00:00:00</t>
  </si>
  <si>
    <t>30831899</t>
  </si>
  <si>
    <t>ФКП "Аэропорты Севера" филиал "Аэропорт Ленск"</t>
  </si>
  <si>
    <t>26653709</t>
  </si>
  <si>
    <t>ФКП "Аэропорты Севера" филиал "Аэропорт Нерюнгри"</t>
  </si>
  <si>
    <t>143402001</t>
  </si>
  <si>
    <t>28465639</t>
  </si>
  <si>
    <t>ФКП "Аэропорты Севера" филиал "Аэропорт Нюрба"</t>
  </si>
  <si>
    <t>141903001</t>
  </si>
  <si>
    <t>01-01-2014 00:00:00</t>
  </si>
  <si>
    <t>26354258</t>
  </si>
  <si>
    <t>ФКУ "ИК-7 УФСИН России по РС(Я)"</t>
  </si>
  <si>
    <t>1435016858</t>
  </si>
  <si>
    <t>06-11-2002 00:00:00</t>
  </si>
  <si>
    <t>26354298</t>
  </si>
  <si>
    <t>Филиал АО ХК "Якутуголь" "Шахта Джебарики-Хая"</t>
  </si>
  <si>
    <t>1434026980</t>
  </si>
  <si>
    <t>144950001</t>
  </si>
  <si>
    <t>23-12-2002 00:00:00</t>
  </si>
  <si>
    <t>30921212</t>
  </si>
  <si>
    <t>Хангаласский филиал АО "Вилюйавтодор"</t>
  </si>
  <si>
    <t>26536041</t>
  </si>
  <si>
    <t>Якутское предприятие по торговле алмазами АК "АЛРОСА" (ПАО)</t>
  </si>
  <si>
    <t>31507248</t>
  </si>
  <si>
    <t>ООО УК "Айхалцентр"</t>
  </si>
  <si>
    <t>1433032597</t>
  </si>
  <si>
    <t>01-06-2020 00:00:00</t>
  </si>
  <si>
    <t>30386009</t>
  </si>
  <si>
    <t>770401005</t>
  </si>
  <si>
    <t>29-05-2015 00:00:00</t>
  </si>
  <si>
    <t>26506964</t>
  </si>
  <si>
    <t>АО "Нерюнгринский городской водоканал"</t>
  </si>
  <si>
    <t>1434039203</t>
  </si>
  <si>
    <t>03-09-2009 00:00:00</t>
  </si>
  <si>
    <t>26507081</t>
  </si>
  <si>
    <t>АО "Сахаэнерго" филиал "Верхоянские ЭС"</t>
  </si>
  <si>
    <t>20-03-2008 00:00:00</t>
  </si>
  <si>
    <t>26354266</t>
  </si>
  <si>
    <t>ГБПОУ РС(Я) "РТИП И МСРИ"</t>
  </si>
  <si>
    <t>1435043273</t>
  </si>
  <si>
    <t>01-08-2002 00:00:00</t>
  </si>
  <si>
    <t>28968174</t>
  </si>
  <si>
    <t>ИП Габышев В.М.</t>
  </si>
  <si>
    <t>143305778800</t>
  </si>
  <si>
    <t>28263940</t>
  </si>
  <si>
    <t>ИП Короваев Э.А.</t>
  </si>
  <si>
    <t>143301859953</t>
  </si>
  <si>
    <t>06-08-2013 00:00:00</t>
  </si>
  <si>
    <t>31676465</t>
  </si>
  <si>
    <t>ИП Павлова Марина Трофимовна</t>
  </si>
  <si>
    <t>143590585988</t>
  </si>
  <si>
    <t>27579243</t>
  </si>
  <si>
    <t>ИП Фокин А.В.</t>
  </si>
  <si>
    <t>143102651380</t>
  </si>
  <si>
    <t>10-07-2009 00:00:00</t>
  </si>
  <si>
    <t>31727047</t>
  </si>
  <si>
    <t>ИП Яковлева Алена Петровна</t>
  </si>
  <si>
    <t>140701672087</t>
  </si>
  <si>
    <t>03-11-2022 00:00:00</t>
  </si>
  <si>
    <t>28147407</t>
  </si>
  <si>
    <t>МУП "Комуслуги"</t>
  </si>
  <si>
    <t>1405000988</t>
  </si>
  <si>
    <t>140501001</t>
  </si>
  <si>
    <t>31640065</t>
  </si>
  <si>
    <t>ООО "АЛИВ"</t>
  </si>
  <si>
    <t>1407008848</t>
  </si>
  <si>
    <t>30-06-2021 00:00:00</t>
  </si>
  <si>
    <t>31700191</t>
  </si>
  <si>
    <t>ООО "АМЫДАЙ"</t>
  </si>
  <si>
    <t>1400017064</t>
  </si>
  <si>
    <t>30-12-2022 00:00:00</t>
  </si>
  <si>
    <t>31596918</t>
  </si>
  <si>
    <t>ООО "Акваснаб"</t>
  </si>
  <si>
    <t>1400005848</t>
  </si>
  <si>
    <t>05-03-2022 00:00:00</t>
  </si>
  <si>
    <t>30874965</t>
  </si>
  <si>
    <t>ООО "Алекса+"</t>
  </si>
  <si>
    <t>1407008196</t>
  </si>
  <si>
    <t>10-03-2016 00:00:00</t>
  </si>
  <si>
    <t>26646807</t>
  </si>
  <si>
    <t>ООО "Арчын"</t>
  </si>
  <si>
    <t>1404004940</t>
  </si>
  <si>
    <t>140401001</t>
  </si>
  <si>
    <t>30-11-2010 00:00:00</t>
  </si>
  <si>
    <t>31752556</t>
  </si>
  <si>
    <t>ООО "ГАЗПРОМ ЭНЕРГО"</t>
  </si>
  <si>
    <t>7736186950</t>
  </si>
  <si>
    <t>384943001</t>
  </si>
  <si>
    <t>31838597</t>
  </si>
  <si>
    <t>ООО "ГИДРОСНАБ"</t>
  </si>
  <si>
    <t>1435353740</t>
  </si>
  <si>
    <t>22-07-2020 00:00:00</t>
  </si>
  <si>
    <t>31861598</t>
  </si>
  <si>
    <t>ООО "ГОРНЫЙ ЖИЛКОМСЕРВИС" ПРИ АМО "БЕРДИГЕСТЯХСКИЙ НАСЛЕГ" ГОРНОГО УЛУСА РС (Я)"</t>
  </si>
  <si>
    <t>1400038610</t>
  </si>
  <si>
    <t>26-08-2024 00:00:00</t>
  </si>
  <si>
    <t>26801396</t>
  </si>
  <si>
    <t>ООО "Геосервис"</t>
  </si>
  <si>
    <t>1412262261</t>
  </si>
  <si>
    <t>141201001</t>
  </si>
  <si>
    <t>29-10-2010 00:00:00</t>
  </si>
  <si>
    <t>30856877</t>
  </si>
  <si>
    <t>ООО "Герда"</t>
  </si>
  <si>
    <t>1410007763</t>
  </si>
  <si>
    <t>30-03-2015 00:00:00</t>
  </si>
  <si>
    <t>31880192</t>
  </si>
  <si>
    <t>ООО "ДЕЛЬТА"</t>
  </si>
  <si>
    <t>1435361692</t>
  </si>
  <si>
    <t>18-06-2021 00:00:00</t>
  </si>
  <si>
    <t>28088700</t>
  </si>
  <si>
    <t>ООО "Дирекция Строительства "Хангаласский Газстрой"</t>
  </si>
  <si>
    <t>1435194868</t>
  </si>
  <si>
    <t>19-11-2007 00:00:00</t>
  </si>
  <si>
    <t>31837125</t>
  </si>
  <si>
    <t>ООО "ИТР-8"</t>
  </si>
  <si>
    <t>1400031196</t>
  </si>
  <si>
    <t>06-02-2024 00:00:00</t>
  </si>
  <si>
    <t>31452431</t>
  </si>
  <si>
    <t>ООО "КОМТЕХ"</t>
  </si>
  <si>
    <t>1435217427</t>
  </si>
  <si>
    <t>25-04-2009 00:00:00</t>
  </si>
  <si>
    <t>26506991</t>
  </si>
  <si>
    <t>ООО "Коммунсервис"</t>
  </si>
  <si>
    <t>1410005607</t>
  </si>
  <si>
    <t>11-11-2004 00:00:00</t>
  </si>
  <si>
    <t>31435762</t>
  </si>
  <si>
    <t>ООО "Максимум"</t>
  </si>
  <si>
    <t>1435327902</t>
  </si>
  <si>
    <t>15-12-2017 00:00:00</t>
  </si>
  <si>
    <t>31578466</t>
  </si>
  <si>
    <t>ООО "Рассвет 999,9"</t>
  </si>
  <si>
    <t>1435241067</t>
  </si>
  <si>
    <t>08-04-2016 00:00:00</t>
  </si>
  <si>
    <t>31874790</t>
  </si>
  <si>
    <t>ООО "САР"</t>
  </si>
  <si>
    <t>1400044766</t>
  </si>
  <si>
    <t>06-03-2025 00:00:00</t>
  </si>
  <si>
    <t>30857195</t>
  </si>
  <si>
    <t>ООО "СВТС"</t>
  </si>
  <si>
    <t>1435226245</t>
  </si>
  <si>
    <t>16-03-2010 00:00:00</t>
  </si>
  <si>
    <t>31603530</t>
  </si>
  <si>
    <t>ООО "СУЛУС"</t>
  </si>
  <si>
    <t>1424008870</t>
  </si>
  <si>
    <t>14-03-2013 00:00:00</t>
  </si>
  <si>
    <t>26506851</t>
  </si>
  <si>
    <t>ООО "Специализированный застройщик "Прометей"</t>
  </si>
  <si>
    <t>1435101278</t>
  </si>
  <si>
    <t>01-10-2002 00:00:00</t>
  </si>
  <si>
    <t>31857936</t>
  </si>
  <si>
    <t>ООО "ТЕПЛОГРАД"</t>
  </si>
  <si>
    <t>1435247245</t>
  </si>
  <si>
    <t>08-07-2025 00:00:00</t>
  </si>
  <si>
    <t>31748978</t>
  </si>
  <si>
    <t>ООО "УПРАВЛЯЮЩАЯ КОМПАНИЯ ТЕПЛОСЕРВИС"</t>
  </si>
  <si>
    <t>1425005857</t>
  </si>
  <si>
    <t>25-05-2016 00:00:00</t>
  </si>
  <si>
    <t>26642925</t>
  </si>
  <si>
    <t>ООО "Улусные коммунальные сети"</t>
  </si>
  <si>
    <t>1427009127</t>
  </si>
  <si>
    <t>20-02-2006 00:00:00</t>
  </si>
  <si>
    <t>26546587</t>
  </si>
  <si>
    <t>ООО "Хатан"</t>
  </si>
  <si>
    <t>1430009864</t>
  </si>
  <si>
    <t>27-01-2010 00:00:00</t>
  </si>
  <si>
    <t>27806541</t>
  </si>
  <si>
    <t>ООО "Чагылган"</t>
  </si>
  <si>
    <t>1411000168</t>
  </si>
  <si>
    <t>16-11-2002 00:00:00</t>
  </si>
  <si>
    <t>30855359</t>
  </si>
  <si>
    <t>ООО "Эколайн"</t>
  </si>
  <si>
    <t>1435306998</t>
  </si>
  <si>
    <t>14-04-2016 00:00:00</t>
  </si>
  <si>
    <t>31518600</t>
  </si>
  <si>
    <t>ООО «Строй импульс»</t>
  </si>
  <si>
    <t>1435242085</t>
  </si>
  <si>
    <t>02-06-2011 00:00:00</t>
  </si>
  <si>
    <t>28859655</t>
  </si>
  <si>
    <t>ООО УК "Автомобилист"</t>
  </si>
  <si>
    <t>1421009730</t>
  </si>
  <si>
    <t>09-06-2014 00:00:00</t>
  </si>
  <si>
    <t>31661188</t>
  </si>
  <si>
    <t>Общество с ограниченной отвественностью "АлданВодХоз"</t>
  </si>
  <si>
    <t>1402026508</t>
  </si>
  <si>
    <t>16-02-2021 00:00:00</t>
  </si>
  <si>
    <t>26796086</t>
  </si>
  <si>
    <t>ПАО "Якутскэнерго" филиал "КВГЭС"</t>
  </si>
  <si>
    <t>143302002</t>
  </si>
  <si>
    <t>31676455</t>
  </si>
  <si>
    <t>СЖПК "САЙДЫЫ"</t>
  </si>
  <si>
    <t>1411004412</t>
  </si>
  <si>
    <t>24-03-2009 00:00:00</t>
  </si>
  <si>
    <t>26405743</t>
  </si>
  <si>
    <t>Уренгойский филиал ООО "Газпром энерго"</t>
  </si>
  <si>
    <t>890402001</t>
  </si>
  <si>
    <t>03-10-2005 00:00:00</t>
  </si>
  <si>
    <t>27896331</t>
  </si>
  <si>
    <t>Филиал "Нерюнгринское РНУ" ООО "Транснефть-Восток"</t>
  </si>
  <si>
    <t>3801079671</t>
  </si>
  <si>
    <t>28967509</t>
  </si>
  <si>
    <t>Филиал «Ленское РНУ» ООО «Транснефть-Восток»</t>
  </si>
  <si>
    <t>141431001</t>
  </si>
  <si>
    <t>14-05-2015 00:00:00</t>
  </si>
  <si>
    <t>31157180</t>
  </si>
  <si>
    <t>ИП Бережнев С.И.</t>
  </si>
  <si>
    <t>141701185254</t>
  </si>
  <si>
    <t>11-01-2009 00:00:00</t>
  </si>
  <si>
    <t>28109388</t>
  </si>
  <si>
    <t>ИП Войтенко А.А.</t>
  </si>
  <si>
    <t>140204198519</t>
  </si>
  <si>
    <t>05-12-2007 00:00:00</t>
  </si>
  <si>
    <t>28036400</t>
  </si>
  <si>
    <t>ИП Головацкий Ф. В.</t>
  </si>
  <si>
    <t>142800023471</t>
  </si>
  <si>
    <t>31640957</t>
  </si>
  <si>
    <t>ИП Делюкин Евгений Геннадьевич</t>
  </si>
  <si>
    <t>141401345443</t>
  </si>
  <si>
    <t>26-02-2019 00:00:00</t>
  </si>
  <si>
    <t>28982968</t>
  </si>
  <si>
    <t>ИП К(Ф)Х Тастыгина Е.П.</t>
  </si>
  <si>
    <t>142501501306</t>
  </si>
  <si>
    <t>04-03-2015 00:00:00</t>
  </si>
  <si>
    <t>28117963</t>
  </si>
  <si>
    <t>ИП Кадашников А.Л.</t>
  </si>
  <si>
    <t>142601369130</t>
  </si>
  <si>
    <t>28083931</t>
  </si>
  <si>
    <t>ИП Казанцев В.П.</t>
  </si>
  <si>
    <t>143404430281</t>
  </si>
  <si>
    <t>11-02-2013 00:00:00</t>
  </si>
  <si>
    <t>28153187</t>
  </si>
  <si>
    <t>ИП Новосельцев А.А.</t>
  </si>
  <si>
    <t>143516808170</t>
  </si>
  <si>
    <t>06-06-2013 00:00:00</t>
  </si>
  <si>
    <t>28153008</t>
  </si>
  <si>
    <t>ИП Пестерев А.Н.</t>
  </si>
  <si>
    <t>141600143339</t>
  </si>
  <si>
    <t>05-06-2013 00:00:00</t>
  </si>
  <si>
    <t>30948525</t>
  </si>
  <si>
    <t>ИП Прокопьев А.М.</t>
  </si>
  <si>
    <t>142601810178</t>
  </si>
  <si>
    <t>31523412</t>
  </si>
  <si>
    <t>ИП Степанова А.А.</t>
  </si>
  <si>
    <t>141002680200</t>
  </si>
  <si>
    <t>28870517</t>
  </si>
  <si>
    <t>МАУ "Комтехсервис"</t>
  </si>
  <si>
    <t>1405001406</t>
  </si>
  <si>
    <t>19-03-2013 00:00:00</t>
  </si>
  <si>
    <t>31530204</t>
  </si>
  <si>
    <t>МБУ "РЦ МР "ГОРНЫЙ УЛУС"</t>
  </si>
  <si>
    <t>1411005409</t>
  </si>
  <si>
    <t>17-04-2020 00:00:00</t>
  </si>
  <si>
    <t>26648480</t>
  </si>
  <si>
    <t>МУП "Хотой"</t>
  </si>
  <si>
    <t>1420042421</t>
  </si>
  <si>
    <t>142001001</t>
  </si>
  <si>
    <t>28-05-2010 00:00:00</t>
  </si>
  <si>
    <t>30812808</t>
  </si>
  <si>
    <t>МУП ЖКХ п. Усть-Мая</t>
  </si>
  <si>
    <t>1428001900</t>
  </si>
  <si>
    <t>30-10-2015 00:00:00</t>
  </si>
  <si>
    <t>28152112</t>
  </si>
  <si>
    <t>ООО " Акватранс"</t>
  </si>
  <si>
    <t>1415012982</t>
  </si>
  <si>
    <t>01-06-2013 00:00:00</t>
  </si>
  <si>
    <t>28152124</t>
  </si>
  <si>
    <t>ООО " Стабильность"</t>
  </si>
  <si>
    <t>1435265011</t>
  </si>
  <si>
    <t>31717848</t>
  </si>
  <si>
    <t>ООО "АВАКОН"</t>
  </si>
  <si>
    <t>3811070879</t>
  </si>
  <si>
    <t>380801001</t>
  </si>
  <si>
    <t>31-01-2003 00:00:00</t>
  </si>
  <si>
    <t>28094700</t>
  </si>
  <si>
    <t>ООО "Авико-Сервис"</t>
  </si>
  <si>
    <t>1426006250</t>
  </si>
  <si>
    <t>20-02-2013 00:00:00</t>
  </si>
  <si>
    <t>26642953</t>
  </si>
  <si>
    <t>ООО "Автомобилист"</t>
  </si>
  <si>
    <t>1431010478</t>
  </si>
  <si>
    <t>21-04-2008 00:00:00</t>
  </si>
  <si>
    <t>28867693</t>
  </si>
  <si>
    <t>ООО "Арктика"</t>
  </si>
  <si>
    <t>1409005345</t>
  </si>
  <si>
    <t>140901001</t>
  </si>
  <si>
    <t>10-04-2009 00:00:00</t>
  </si>
  <si>
    <t>28153160</t>
  </si>
  <si>
    <t>ООО "БайкалТранс"</t>
  </si>
  <si>
    <t>1435261708</t>
  </si>
  <si>
    <t>11-12-2012 00:00:00</t>
  </si>
  <si>
    <t>28083772</t>
  </si>
  <si>
    <t>ООО "Верхнеколымская Управляющая Компания"</t>
  </si>
  <si>
    <t>1408004564</t>
  </si>
  <si>
    <t>13-11-2008 00:00:00</t>
  </si>
  <si>
    <t>31440600</t>
  </si>
  <si>
    <t>ООО "Горизонт"</t>
  </si>
  <si>
    <t>1414012933</t>
  </si>
  <si>
    <t>31357295</t>
  </si>
  <si>
    <t>ООО "Грифон"</t>
  </si>
  <si>
    <t>1435322855</t>
  </si>
  <si>
    <t>12-07-2017 00:00:00</t>
  </si>
  <si>
    <t>31450978</t>
  </si>
  <si>
    <t>ООО "ЖилТрансСтрой"</t>
  </si>
  <si>
    <t>1411004927</t>
  </si>
  <si>
    <t>20-11-2014 00:00:00</t>
  </si>
  <si>
    <t>31640231</t>
  </si>
  <si>
    <t>ООО "КЛИН СИТИ"</t>
  </si>
  <si>
    <t>1400015557</t>
  </si>
  <si>
    <t>18-11-2022 00:00:00</t>
  </si>
  <si>
    <t>31639462</t>
  </si>
  <si>
    <t>ООО "КОНТИНЕНТ СЕВЕР"</t>
  </si>
  <si>
    <t>1435345500</t>
  </si>
  <si>
    <t>09-09-2019 00:00:00</t>
  </si>
  <si>
    <t>28149400</t>
  </si>
  <si>
    <t>ООО "Комсервис"</t>
  </si>
  <si>
    <t>1412262222</t>
  </si>
  <si>
    <t>23-05-2013 00:00:00</t>
  </si>
  <si>
    <t>28036537</t>
  </si>
  <si>
    <t>ООО "Комфорт-Ленск"</t>
  </si>
  <si>
    <t>1414013817</t>
  </si>
  <si>
    <t>30983258</t>
  </si>
  <si>
    <t>ООО "Кристалл"</t>
  </si>
  <si>
    <t>1419008232</t>
  </si>
  <si>
    <t>10-04-2013 00:00:00</t>
  </si>
  <si>
    <t>26507023</t>
  </si>
  <si>
    <t>ООО "Кулешова"</t>
  </si>
  <si>
    <t>1408004571</t>
  </si>
  <si>
    <t>28083800</t>
  </si>
  <si>
    <t>ООО "ЛПЖХ"</t>
  </si>
  <si>
    <t>1414011834</t>
  </si>
  <si>
    <t>20-12-2005 00:00:00</t>
  </si>
  <si>
    <t>30353204</t>
  </si>
  <si>
    <t>ООО "Лидер Плюс"</t>
  </si>
  <si>
    <t>1426000146</t>
  </si>
  <si>
    <t>12-10-2015 00:00:00</t>
  </si>
  <si>
    <t>28078557</t>
  </si>
  <si>
    <t>ООО "Максим"</t>
  </si>
  <si>
    <t>1414014105</t>
  </si>
  <si>
    <t>06-02-2013 00:00:00</t>
  </si>
  <si>
    <t>28094716</t>
  </si>
  <si>
    <t>ООО "Партнёр"</t>
  </si>
  <si>
    <t>1426334011</t>
  </si>
  <si>
    <t>03-05-2012 00:00:00</t>
  </si>
  <si>
    <t>28153168</t>
  </si>
  <si>
    <t>ООО "ПромЭкология"</t>
  </si>
  <si>
    <t>1414012549</t>
  </si>
  <si>
    <t>26642604</t>
  </si>
  <si>
    <t>ООО "Протек"</t>
  </si>
  <si>
    <t>1435180329</t>
  </si>
  <si>
    <t>27-11-2006 00:00:00</t>
  </si>
  <si>
    <t>27964371</t>
  </si>
  <si>
    <t>ООО "Р.И.К."</t>
  </si>
  <si>
    <t>1435242215</t>
  </si>
  <si>
    <t>08-06-2011 00:00:00</t>
  </si>
  <si>
    <t>28149246</t>
  </si>
  <si>
    <t>ООО "Респект"</t>
  </si>
  <si>
    <t>1414013944</t>
  </si>
  <si>
    <t>31879971</t>
  </si>
  <si>
    <t>ООО "СЕРВИС-А"</t>
  </si>
  <si>
    <t>1400028041</t>
  </si>
  <si>
    <t>07-11-2023 00:00:00</t>
  </si>
  <si>
    <t>30858597</t>
  </si>
  <si>
    <t>ООО "СК "Сибирь"</t>
  </si>
  <si>
    <t>7202212297</t>
  </si>
  <si>
    <t>142945001</t>
  </si>
  <si>
    <t>15-09-2010 00:00:00</t>
  </si>
  <si>
    <t>31004532</t>
  </si>
  <si>
    <t>ООО "Сатал"</t>
  </si>
  <si>
    <t>1435316788</t>
  </si>
  <si>
    <t>01-02-2017 00:00:00</t>
  </si>
  <si>
    <t>26506993</t>
  </si>
  <si>
    <t>ООО "Системы Канакор"</t>
  </si>
  <si>
    <t>1435155315</t>
  </si>
  <si>
    <t>12-01-2005 00:00:00</t>
  </si>
  <si>
    <t>31416460</t>
  </si>
  <si>
    <t>ООО "Ситим"</t>
  </si>
  <si>
    <t>1435345997</t>
  </si>
  <si>
    <t>30-09-2019 00:00:00</t>
  </si>
  <si>
    <t>27539373</t>
  </si>
  <si>
    <t>ООО "Сомо5о"</t>
  </si>
  <si>
    <t>1411004275</t>
  </si>
  <si>
    <t>29-04-2008 00:00:00</t>
  </si>
  <si>
    <t>26642951</t>
  </si>
  <si>
    <t>ООО "Стройсервис"</t>
  </si>
  <si>
    <t>1435142725</t>
  </si>
  <si>
    <t>08-12-2003 00:00:00</t>
  </si>
  <si>
    <t>28237140</t>
  </si>
  <si>
    <t>ООО "Теплотехника"</t>
  </si>
  <si>
    <t>1421008977</t>
  </si>
  <si>
    <t>06-10-2009 00:00:00</t>
  </si>
  <si>
    <t>28149372</t>
  </si>
  <si>
    <t>ООО "Техобслуживание"</t>
  </si>
  <si>
    <t>1413000477</t>
  </si>
  <si>
    <t>141301001</t>
  </si>
  <si>
    <t>28-12-2012 00:00:00</t>
  </si>
  <si>
    <t>30439503</t>
  </si>
  <si>
    <t>ООО "УК "Уют-Сервис"</t>
  </si>
  <si>
    <t>1424009143</t>
  </si>
  <si>
    <t>28090340</t>
  </si>
  <si>
    <t>ООО "УК Строй Комфорт Сервис"</t>
  </si>
  <si>
    <t>1426333642</t>
  </si>
  <si>
    <t>28544264</t>
  </si>
  <si>
    <t>ООО "Чолбон"</t>
  </si>
  <si>
    <t>1415011435</t>
  </si>
  <si>
    <t>03-02-2009 00:00:00</t>
  </si>
  <si>
    <t>28152955</t>
  </si>
  <si>
    <t>ООО "Эйгэ"</t>
  </si>
  <si>
    <t>1417008300</t>
  </si>
  <si>
    <t>31562899</t>
  </si>
  <si>
    <t>ООО "Экосервис"</t>
  </si>
  <si>
    <t>1435364125</t>
  </si>
  <si>
    <t>18-10-2021 00:00:00</t>
  </si>
  <si>
    <t>28151260</t>
  </si>
  <si>
    <t>ООО "Элком"</t>
  </si>
  <si>
    <t>1428003544</t>
  </si>
  <si>
    <t>30-05-2013 00:00:00</t>
  </si>
  <si>
    <t>31246786</t>
  </si>
  <si>
    <t>ООО "Энергопром"</t>
  </si>
  <si>
    <t>1435333409</t>
  </si>
  <si>
    <t>143350100</t>
  </si>
  <si>
    <t>19-06-2018 00:00:00</t>
  </si>
  <si>
    <t>28084184</t>
  </si>
  <si>
    <t>1417005074</t>
  </si>
  <si>
    <t>30355250</t>
  </si>
  <si>
    <t>ООО «АЙХАЛСЕРВИС»</t>
  </si>
  <si>
    <t>1433027100</t>
  </si>
  <si>
    <t>30938801</t>
  </si>
  <si>
    <t>ООО «Мастер»</t>
  </si>
  <si>
    <t>1413001054</t>
  </si>
  <si>
    <t>29-05-2017 00:00:00</t>
  </si>
  <si>
    <t>29645742</t>
  </si>
  <si>
    <t>ООО НПО "Бигэ"</t>
  </si>
  <si>
    <t>1435226446</t>
  </si>
  <si>
    <t>24-03-2010 00:00:00</t>
  </si>
  <si>
    <t>28138780</t>
  </si>
  <si>
    <t>ООО УК "Акташ"</t>
  </si>
  <si>
    <t>1426333667</t>
  </si>
  <si>
    <t>03-04-2013 00:00:00</t>
  </si>
  <si>
    <t>28152963</t>
  </si>
  <si>
    <t>ООО УК "Жил-сервис"</t>
  </si>
  <si>
    <t>1414014698</t>
  </si>
  <si>
    <t>27820093</t>
  </si>
  <si>
    <t>ООО УК "Инженертехсервис+"</t>
  </si>
  <si>
    <t>1435248182</t>
  </si>
  <si>
    <t>09-12-2011 00:00:00</t>
  </si>
  <si>
    <t>28984707</t>
  </si>
  <si>
    <t>ООО УК «Империал»</t>
  </si>
  <si>
    <t>1414016430</t>
  </si>
  <si>
    <t>06-06-2014 00:00:00</t>
  </si>
  <si>
    <t>28053843</t>
  </si>
  <si>
    <t>ООО УК Ситим</t>
  </si>
  <si>
    <t>1419006355</t>
  </si>
  <si>
    <t>18-01-2008 00:00:00</t>
  </si>
  <si>
    <t>28149362</t>
  </si>
  <si>
    <t>УК ООО "МегАл"</t>
  </si>
  <si>
    <t>1426333353</t>
  </si>
  <si>
    <t>26506862</t>
  </si>
  <si>
    <t>ФКУ "СИЗО-1 УФСИН России по РС(Я)"</t>
  </si>
  <si>
    <t>1435067690</t>
  </si>
  <si>
    <t>15-11-2002 00:00:00</t>
  </si>
  <si>
    <t>31642192</t>
  </si>
  <si>
    <t>ИП ОВЧИННИКОВА Л.В.</t>
  </si>
  <si>
    <t>141400099604</t>
  </si>
  <si>
    <t>11-01-2022 00:00:00</t>
  </si>
  <si>
    <t>28931253</t>
  </si>
  <si>
    <t>ИП Прокопьев В.В.</t>
  </si>
  <si>
    <t>140700814300</t>
  </si>
  <si>
    <t>20-02-2015 00:00:00</t>
  </si>
  <si>
    <t>31294490</t>
  </si>
  <si>
    <t>МАУ АРТ МО "Ленский наслег"</t>
  </si>
  <si>
    <t>1417008886</t>
  </si>
  <si>
    <t>06-04-2012 00:00:00</t>
  </si>
  <si>
    <t>27592498</t>
  </si>
  <si>
    <t>МУП "ЖКХ"  Момского улуса (района)</t>
  </si>
  <si>
    <t>1416004832</t>
  </si>
  <si>
    <t>141601001</t>
  </si>
  <si>
    <t>25-01-2006 00:00:00</t>
  </si>
  <si>
    <t>31369269</t>
  </si>
  <si>
    <t>МУП "ЖТК"</t>
  </si>
  <si>
    <t>1435230330</t>
  </si>
  <si>
    <t>09-07-2010 00:00:00</t>
  </si>
  <si>
    <t>26507015</t>
  </si>
  <si>
    <t>МУП "Переработчик"</t>
  </si>
  <si>
    <t>1434034580</t>
  </si>
  <si>
    <t>19-07-2007 00:00:00</t>
  </si>
  <si>
    <t>28254745</t>
  </si>
  <si>
    <t>МУП "СГЗ"</t>
  </si>
  <si>
    <t>1421009530</t>
  </si>
  <si>
    <t>08-08-2013 00:00:00</t>
  </si>
  <si>
    <t>31329656</t>
  </si>
  <si>
    <t>МУП "Служба эксплуатации муниципального хозяйства" п. Мохсоголлох</t>
  </si>
  <si>
    <t>1431012387</t>
  </si>
  <si>
    <t>26507011</t>
  </si>
  <si>
    <t>МУП "УППМХ"</t>
  </si>
  <si>
    <t>1433013675</t>
  </si>
  <si>
    <t>04-02-1998 00:00:00</t>
  </si>
  <si>
    <t>26559742</t>
  </si>
  <si>
    <t>ООО "Амма-ЖЭУ"</t>
  </si>
  <si>
    <t>1404004436</t>
  </si>
  <si>
    <t>31-08-2007 00:00:00</t>
  </si>
  <si>
    <t>31817411</t>
  </si>
  <si>
    <t>ООО "КОММУНСЕРВИС"</t>
  </si>
  <si>
    <t>1400041973</t>
  </si>
  <si>
    <t>16-12-2024 00:00:00</t>
  </si>
  <si>
    <t>31235091</t>
  </si>
  <si>
    <t>ООО "МП ЖХ"</t>
  </si>
  <si>
    <t>1433020305</t>
  </si>
  <si>
    <t>28-12-2015 00:00:00</t>
  </si>
  <si>
    <t>31564604</t>
  </si>
  <si>
    <t>ООО "ПАРТНЕР"</t>
  </si>
  <si>
    <t>1435358153</t>
  </si>
  <si>
    <t>12-02-2021 00:00:00</t>
  </si>
  <si>
    <t>31592317</t>
  </si>
  <si>
    <t>ООО "Профи"</t>
  </si>
  <si>
    <t>1414016230</t>
  </si>
  <si>
    <t>30-12-2013 00:00:00</t>
  </si>
  <si>
    <t>28796566</t>
  </si>
  <si>
    <t>ООО "Ремэкссервис"</t>
  </si>
  <si>
    <t>1433028142</t>
  </si>
  <si>
    <t>13-08-2014 00:00:00</t>
  </si>
  <si>
    <t>31571590</t>
  </si>
  <si>
    <t>ООО "САЙДАМ"</t>
  </si>
  <si>
    <t>1433032646</t>
  </si>
  <si>
    <t>19-06-2020 00:00:00</t>
  </si>
  <si>
    <t>31223250</t>
  </si>
  <si>
    <t>ООО "СКС"</t>
  </si>
  <si>
    <t>1419008507</t>
  </si>
  <si>
    <t>03-12-2016 00:00:00</t>
  </si>
  <si>
    <t>31889104</t>
  </si>
  <si>
    <t>ООО "СЭМИ МР "АЛЛАИХОВСКИЙ УЛУС (РАЙОН) РС (Я)"</t>
  </si>
  <si>
    <t>1400035120</t>
  </si>
  <si>
    <t>13-05-2024 00:00:00</t>
  </si>
  <si>
    <t>26642633</t>
  </si>
  <si>
    <t>ООО "СтройУтильСервис"</t>
  </si>
  <si>
    <t>1419007398</t>
  </si>
  <si>
    <t>31639239</t>
  </si>
  <si>
    <t>ООО "ЧИСТАЯ АРКТИКА"</t>
  </si>
  <si>
    <t>1400006489</t>
  </si>
  <si>
    <t>21-03-2022 00:00:00</t>
  </si>
  <si>
    <t>31329697</t>
  </si>
  <si>
    <t>ООО "Экологические Сети Хангалас"</t>
  </si>
  <si>
    <t>1431013648</t>
  </si>
  <si>
    <t>31235068</t>
  </si>
  <si>
    <t>ООО "Экологические системы Якутии"</t>
  </si>
  <si>
    <t>1435314011</t>
  </si>
  <si>
    <t>15-11-2016 00:00:00</t>
  </si>
  <si>
    <t>31235060</t>
  </si>
  <si>
    <t>ООО "Якутскэкосети"</t>
  </si>
  <si>
    <t>1435284215</t>
  </si>
  <si>
    <t>24-07-2014 00:00:00</t>
  </si>
  <si>
    <t>31566968</t>
  </si>
  <si>
    <t>ООО УК "ЖКХ"</t>
  </si>
  <si>
    <t>1407008573</t>
  </si>
  <si>
    <t>06-05-2019 00:00:00</t>
  </si>
  <si>
    <t>NSRF</t>
  </si>
  <si>
    <t>MR_NAME</t>
  </si>
  <si>
    <t>OKTMO_MR_NAME</t>
  </si>
  <si>
    <t>MO_NAME</t>
  </si>
  <si>
    <t>OKTMO_NAME</t>
  </si>
  <si>
    <t>TYPE</t>
  </si>
  <si>
    <t>MR_ID</t>
  </si>
  <si>
    <t>Абыйский муниципальный район</t>
  </si>
  <si>
    <t>98601000</t>
  </si>
  <si>
    <t>муниципальный район</t>
  </si>
  <si>
    <t>Абыйский наслег</t>
  </si>
  <si>
    <t>98601404</t>
  </si>
  <si>
    <t>сельское поселение</t>
  </si>
  <si>
    <t>Майорский национальный наслег</t>
  </si>
  <si>
    <t>98601409</t>
  </si>
  <si>
    <t>Мугурдахский наслег</t>
  </si>
  <si>
    <t>98601417</t>
  </si>
  <si>
    <t>Поселок Белая Гора</t>
  </si>
  <si>
    <t>98601151</t>
  </si>
  <si>
    <t>городское поселение, в состав которого входит поселок</t>
  </si>
  <si>
    <t>Уолбутский наслег</t>
  </si>
  <si>
    <t>98601422</t>
  </si>
  <si>
    <t>Урасалахский наслег</t>
  </si>
  <si>
    <t>98601433</t>
  </si>
  <si>
    <t>Алданский муниципальный район</t>
  </si>
  <si>
    <t>98603000</t>
  </si>
  <si>
    <t>Беллетский эвенкийский национальный наслег</t>
  </si>
  <si>
    <t>98603407</t>
  </si>
  <si>
    <t>Город Алдан</t>
  </si>
  <si>
    <t>98603101</t>
  </si>
  <si>
    <t>городское поселение, в состав которого входит город</t>
  </si>
  <si>
    <t>Город Томмот</t>
  </si>
  <si>
    <t>98603105</t>
  </si>
  <si>
    <t>Национальный наслег Анамы</t>
  </si>
  <si>
    <t>98603404</t>
  </si>
  <si>
    <t>Поселок Ленинский</t>
  </si>
  <si>
    <t>98603161</t>
  </si>
  <si>
    <t>Поселок Нижний Куранах</t>
  </si>
  <si>
    <t>98603170</t>
  </si>
  <si>
    <t>Чагдинский наслег</t>
  </si>
  <si>
    <t>98603460</t>
  </si>
  <si>
    <t>Аллаиховский муниципальный район</t>
  </si>
  <si>
    <t>98606000</t>
  </si>
  <si>
    <t>Береляхский наслег</t>
  </si>
  <si>
    <t>98606424</t>
  </si>
  <si>
    <t>Быягнырский наслег</t>
  </si>
  <si>
    <t>98606437</t>
  </si>
  <si>
    <t>Ойотунгский национальный (кочевой) наслег</t>
  </si>
  <si>
    <t>98606745</t>
  </si>
  <si>
    <t>межселенная территория</t>
  </si>
  <si>
    <t>Поселок Чокурдах</t>
  </si>
  <si>
    <t>98606151</t>
  </si>
  <si>
    <t>Русско-Устьинский наслег</t>
  </si>
  <si>
    <t>98606450</t>
  </si>
  <si>
    <t>Юкагирский национальный наслег</t>
  </si>
  <si>
    <t>98606476</t>
  </si>
  <si>
    <t>Амгинский муниципальный район</t>
  </si>
  <si>
    <t>98608000</t>
  </si>
  <si>
    <t>Абагинский наслег</t>
  </si>
  <si>
    <t>98608405</t>
  </si>
  <si>
    <t>Алтанский наслег</t>
  </si>
  <si>
    <t>98608414</t>
  </si>
  <si>
    <t>Амгино-Нахаринский наслег</t>
  </si>
  <si>
    <t>98608429</t>
  </si>
  <si>
    <t>Амгинский наслег</t>
  </si>
  <si>
    <t>98608432</t>
  </si>
  <si>
    <t>Бетюнский наслег</t>
  </si>
  <si>
    <t>98608440</t>
  </si>
  <si>
    <t>Болугурский наслег</t>
  </si>
  <si>
    <t>98608446</t>
  </si>
  <si>
    <t>Майский наслег</t>
  </si>
  <si>
    <t>98608452</t>
  </si>
  <si>
    <t>Мяндигинский наслег</t>
  </si>
  <si>
    <t>98608455</t>
  </si>
  <si>
    <t>Сатагайский наслег</t>
  </si>
  <si>
    <t>98608458</t>
  </si>
  <si>
    <t>Соморсунский наслег</t>
  </si>
  <si>
    <t>98608460</t>
  </si>
  <si>
    <t>Сулгачинский наслег</t>
  </si>
  <si>
    <t>98608465</t>
  </si>
  <si>
    <t>Чакырский наслег</t>
  </si>
  <si>
    <t>98608470</t>
  </si>
  <si>
    <t>Чапчылганский наслег</t>
  </si>
  <si>
    <t>98608472</t>
  </si>
  <si>
    <t>Эмисский наслег</t>
  </si>
  <si>
    <t>98608481</t>
  </si>
  <si>
    <t>Анабарский национальный (долгано-эвенкийский) муниципальный район</t>
  </si>
  <si>
    <t>98610000</t>
  </si>
  <si>
    <t>Саскылахский национальный (эвенкийский) наслег</t>
  </si>
  <si>
    <t>98610411</t>
  </si>
  <si>
    <t>Юрюнг-Хаинский национальный (долганский) наслег</t>
  </si>
  <si>
    <t>98610424</t>
  </si>
  <si>
    <t>Булунский муниципальный район</t>
  </si>
  <si>
    <t>98612000</t>
  </si>
  <si>
    <t>Борогонский наслег</t>
  </si>
  <si>
    <t>98612407</t>
  </si>
  <si>
    <t>Булунский национальный (эвенкийский) наслег</t>
  </si>
  <si>
    <t>98612412</t>
  </si>
  <si>
    <t>Быковский национальный (эвенкийский) наслег</t>
  </si>
  <si>
    <t>98612413</t>
  </si>
  <si>
    <t>Посёлок Тикси</t>
  </si>
  <si>
    <t>98612151</t>
  </si>
  <si>
    <t>Сиктяхский наслег</t>
  </si>
  <si>
    <t>98612427</t>
  </si>
  <si>
    <t>Тюметинский национальный (эвенкийский) наслег</t>
  </si>
  <si>
    <t>98612445</t>
  </si>
  <si>
    <t>Хара-Улахский национальный (эвенский) наслег</t>
  </si>
  <si>
    <t>98612456</t>
  </si>
  <si>
    <t>Верхневилюйский муниципальный район</t>
  </si>
  <si>
    <t>98614000</t>
  </si>
  <si>
    <t>Балаганнахский наслег</t>
  </si>
  <si>
    <t>98614402</t>
  </si>
  <si>
    <t>Ботулунский наслег</t>
  </si>
  <si>
    <t>98614405</t>
  </si>
  <si>
    <t>Быраканский наслег</t>
  </si>
  <si>
    <t>98614407</t>
  </si>
  <si>
    <t>Верхневилюйский наслег</t>
  </si>
  <si>
    <t>98614412</t>
  </si>
  <si>
    <t>Далырский наслег</t>
  </si>
  <si>
    <t>98614422</t>
  </si>
  <si>
    <t>Дюллюкинский наслег</t>
  </si>
  <si>
    <t>98614417</t>
  </si>
  <si>
    <t>Едюгейский наслег</t>
  </si>
  <si>
    <t>98614423</t>
  </si>
  <si>
    <t>Кырыкыйский наслег</t>
  </si>
  <si>
    <t>98614406</t>
  </si>
  <si>
    <t>Кэнтикский наслег</t>
  </si>
  <si>
    <t>98614429</t>
  </si>
  <si>
    <t>Магасский наслег</t>
  </si>
  <si>
    <t>98614436</t>
  </si>
  <si>
    <t>Мэйикский наслег</t>
  </si>
  <si>
    <t>98614440</t>
  </si>
  <si>
    <t>60</t>
  </si>
  <si>
    <t>Намский наслег</t>
  </si>
  <si>
    <t>98614445</t>
  </si>
  <si>
    <t>61</t>
  </si>
  <si>
    <t>Онхойский наслег</t>
  </si>
  <si>
    <t>98614450</t>
  </si>
  <si>
    <t>62</t>
  </si>
  <si>
    <t>Оргетский наслег</t>
  </si>
  <si>
    <t>98614455</t>
  </si>
  <si>
    <t>63</t>
  </si>
  <si>
    <t>Оросунский наслег</t>
  </si>
  <si>
    <t>98614460</t>
  </si>
  <si>
    <t>64</t>
  </si>
  <si>
    <t>Сургулукский наслег</t>
  </si>
  <si>
    <t>98614467</t>
  </si>
  <si>
    <t>65</t>
  </si>
  <si>
    <t>Тамалаканский наслег</t>
  </si>
  <si>
    <t>98614469</t>
  </si>
  <si>
    <t>Туобуйинский наслег</t>
  </si>
  <si>
    <t>98614472</t>
  </si>
  <si>
    <t>67</t>
  </si>
  <si>
    <t>Харбалахский наслег</t>
  </si>
  <si>
    <t>98614478</t>
  </si>
  <si>
    <t>Хомустахский наслег</t>
  </si>
  <si>
    <t>98614482</t>
  </si>
  <si>
    <t>69</t>
  </si>
  <si>
    <t>Хоринский наслег</t>
  </si>
  <si>
    <t>98614486</t>
  </si>
  <si>
    <t>70</t>
  </si>
  <si>
    <t>Верхнеколымский муниципальный район</t>
  </si>
  <si>
    <t>98615000</t>
  </si>
  <si>
    <t>Арылахский наслег</t>
  </si>
  <si>
    <t>98615405</t>
  </si>
  <si>
    <t>71</t>
  </si>
  <si>
    <t>72</t>
  </si>
  <si>
    <t>Верхнеколымский наслег</t>
  </si>
  <si>
    <t>98615409</t>
  </si>
  <si>
    <t>73</t>
  </si>
  <si>
    <t>Межселенная территория Верхнеколымского муниципального района, находящаяся вне границ городского и сельских поселений</t>
  </si>
  <si>
    <t>98615701</t>
  </si>
  <si>
    <t>74</t>
  </si>
  <si>
    <t>Нелемнский юкагирский наслег</t>
  </si>
  <si>
    <t>98615414</t>
  </si>
  <si>
    <t>75</t>
  </si>
  <si>
    <t>Поселок Зырянка</t>
  </si>
  <si>
    <t>98615151</t>
  </si>
  <si>
    <t>76</t>
  </si>
  <si>
    <t>Угольнинский наслег</t>
  </si>
  <si>
    <t>98615427</t>
  </si>
  <si>
    <t>77</t>
  </si>
  <si>
    <t>Утаинский эвенский национальный наслег</t>
  </si>
  <si>
    <t>98615430</t>
  </si>
  <si>
    <t>78</t>
  </si>
  <si>
    <t>Верхоянский муниципальный район</t>
  </si>
  <si>
    <t>98616000</t>
  </si>
  <si>
    <t>Адычинский наслег</t>
  </si>
  <si>
    <t>98616404</t>
  </si>
  <si>
    <t>79</t>
  </si>
  <si>
    <t>98616409</t>
  </si>
  <si>
    <t>80</t>
  </si>
  <si>
    <t>Бабушкинский наслег</t>
  </si>
  <si>
    <t>98616477</t>
  </si>
  <si>
    <t>81</t>
  </si>
  <si>
    <t>Барыласский наслег</t>
  </si>
  <si>
    <t>98616412</t>
  </si>
  <si>
    <t>82</t>
  </si>
  <si>
    <t>Борулахский наслег</t>
  </si>
  <si>
    <t>98616414</t>
  </si>
  <si>
    <t>83</t>
  </si>
  <si>
    <t>84</t>
  </si>
  <si>
    <t>Город Верхоянск</t>
  </si>
  <si>
    <t>98616103</t>
  </si>
  <si>
    <t>85</t>
  </si>
  <si>
    <t>Дулгалахский наслег</t>
  </si>
  <si>
    <t>98616425</t>
  </si>
  <si>
    <t>86</t>
  </si>
  <si>
    <t>Посёлок Батагай</t>
  </si>
  <si>
    <t>98616151</t>
  </si>
  <si>
    <t>87</t>
  </si>
  <si>
    <t>Посёлок Эсэ-Хая</t>
  </si>
  <si>
    <t>98616156</t>
  </si>
  <si>
    <t>88</t>
  </si>
  <si>
    <t>Сартанский наслег</t>
  </si>
  <si>
    <t>98616442</t>
  </si>
  <si>
    <t>89</t>
  </si>
  <si>
    <t>Столбинский наслег</t>
  </si>
  <si>
    <t>98616445</t>
  </si>
  <si>
    <t>90</t>
  </si>
  <si>
    <t>Суордахский наслег</t>
  </si>
  <si>
    <t>98616448</t>
  </si>
  <si>
    <t>91</t>
  </si>
  <si>
    <t>Табалахский наслег</t>
  </si>
  <si>
    <t>98616453</t>
  </si>
  <si>
    <t>92</t>
  </si>
  <si>
    <t>Черюмчинский наслег</t>
  </si>
  <si>
    <t>98616460</t>
  </si>
  <si>
    <t>93</t>
  </si>
  <si>
    <t>Эгинский наслег</t>
  </si>
  <si>
    <t>98616464</t>
  </si>
  <si>
    <t>94</t>
  </si>
  <si>
    <t>Эльгесский наслег</t>
  </si>
  <si>
    <t>98616470</t>
  </si>
  <si>
    <t>95</t>
  </si>
  <si>
    <t>Янский наслег</t>
  </si>
  <si>
    <t>98616488</t>
  </si>
  <si>
    <t>96</t>
  </si>
  <si>
    <t>Вилюйский муниципальный район</t>
  </si>
  <si>
    <t>98618000</t>
  </si>
  <si>
    <t>98618404</t>
  </si>
  <si>
    <t>97</t>
  </si>
  <si>
    <t>Баппагайинский наслег</t>
  </si>
  <si>
    <t>98618408</t>
  </si>
  <si>
    <t>98</t>
  </si>
  <si>
    <t>Бекчегинский наслег</t>
  </si>
  <si>
    <t>98618412</t>
  </si>
  <si>
    <t>99</t>
  </si>
  <si>
    <t>98618416</t>
  </si>
  <si>
    <t>100</t>
  </si>
  <si>
    <t>101</t>
  </si>
  <si>
    <t>Город Вилюйск</t>
  </si>
  <si>
    <t>98618101</t>
  </si>
  <si>
    <t>102</t>
  </si>
  <si>
    <t>Екюндюнский наслег</t>
  </si>
  <si>
    <t>98618418</t>
  </si>
  <si>
    <t>103</t>
  </si>
  <si>
    <t>Жемконский наслег</t>
  </si>
  <si>
    <t>98618420</t>
  </si>
  <si>
    <t>104</t>
  </si>
  <si>
    <t>Кыргыдайский наслег</t>
  </si>
  <si>
    <t>98618426</t>
  </si>
  <si>
    <t>105</t>
  </si>
  <si>
    <t>Кюлетский 1-й наслег</t>
  </si>
  <si>
    <t>98618430</t>
  </si>
  <si>
    <t>106</t>
  </si>
  <si>
    <t>Кюлетский 2-й наслег</t>
  </si>
  <si>
    <t>98618431</t>
  </si>
  <si>
    <t>107</t>
  </si>
  <si>
    <t>Лекеченский наслег</t>
  </si>
  <si>
    <t>98618433</t>
  </si>
  <si>
    <t>108</t>
  </si>
  <si>
    <t>Первый Тогусский наслег</t>
  </si>
  <si>
    <t>98618435</t>
  </si>
  <si>
    <t>109</t>
  </si>
  <si>
    <t>Посёлок Кысыл-Сыр</t>
  </si>
  <si>
    <t>98618153</t>
  </si>
  <si>
    <t>110</t>
  </si>
  <si>
    <t>Тасагарский наслег</t>
  </si>
  <si>
    <t>98618445</t>
  </si>
  <si>
    <t>111</t>
  </si>
  <si>
    <t>Тогусский наслег</t>
  </si>
  <si>
    <t>98618449</t>
  </si>
  <si>
    <t>112</t>
  </si>
  <si>
    <t>Тылгынинский наслег</t>
  </si>
  <si>
    <t>98618453</t>
  </si>
  <si>
    <t>113</t>
  </si>
  <si>
    <t>Хагынский наслег</t>
  </si>
  <si>
    <t>98618458</t>
  </si>
  <si>
    <t>114</t>
  </si>
  <si>
    <t>Халбакинскийнаслег</t>
  </si>
  <si>
    <t>98618462</t>
  </si>
  <si>
    <t>115</t>
  </si>
  <si>
    <t>Чернышевский наслег</t>
  </si>
  <si>
    <t>98618466</t>
  </si>
  <si>
    <t>116</t>
  </si>
  <si>
    <t>Чочунский наслег</t>
  </si>
  <si>
    <t>98618470</t>
  </si>
  <si>
    <t>117</t>
  </si>
  <si>
    <t>Югюлятский наслег</t>
  </si>
  <si>
    <t>98618474</t>
  </si>
  <si>
    <t>118</t>
  </si>
  <si>
    <t>Горный муниципальный район</t>
  </si>
  <si>
    <t>98620000</t>
  </si>
  <si>
    <t>Атамайский наслег</t>
  </si>
  <si>
    <t>98620405</t>
  </si>
  <si>
    <t>119</t>
  </si>
  <si>
    <t>Бердигестяхский наслег</t>
  </si>
  <si>
    <t>98620410</t>
  </si>
  <si>
    <t>120</t>
  </si>
  <si>
    <t>121</t>
  </si>
  <si>
    <t>Кировский наслег</t>
  </si>
  <si>
    <t>98620417</t>
  </si>
  <si>
    <t>122</t>
  </si>
  <si>
    <t>Маганинский наслег</t>
  </si>
  <si>
    <t>98620426</t>
  </si>
  <si>
    <t>123</t>
  </si>
  <si>
    <t>Малтанинский наслег</t>
  </si>
  <si>
    <t>98620433</t>
  </si>
  <si>
    <t>124</t>
  </si>
  <si>
    <t>Мытахский наслег</t>
  </si>
  <si>
    <t>98620440</t>
  </si>
  <si>
    <t>125</t>
  </si>
  <si>
    <t>Одунунский наслег</t>
  </si>
  <si>
    <t>98620449</t>
  </si>
  <si>
    <t>126</t>
  </si>
  <si>
    <t>Октябрьский наслег</t>
  </si>
  <si>
    <t>98620452</t>
  </si>
  <si>
    <t>127</t>
  </si>
  <si>
    <t>Шологонский наслег</t>
  </si>
  <si>
    <t>98620465</t>
  </si>
  <si>
    <t>128</t>
  </si>
  <si>
    <t>Город Якутск</t>
  </si>
  <si>
    <t>98701000</t>
  </si>
  <si>
    <t>городской округ</t>
  </si>
  <si>
    <t>129</t>
  </si>
  <si>
    <t>Жатай</t>
  </si>
  <si>
    <t>98702000</t>
  </si>
  <si>
    <t>130</t>
  </si>
  <si>
    <t>Жиганский национальный эвенкийский муниципальный район</t>
  </si>
  <si>
    <t>98622000</t>
  </si>
  <si>
    <t>Бестяхский наслег</t>
  </si>
  <si>
    <t>98622405</t>
  </si>
  <si>
    <t>131</t>
  </si>
  <si>
    <t>132</t>
  </si>
  <si>
    <t>Жиганский эвенкийский национальный наслег</t>
  </si>
  <si>
    <t>98622410</t>
  </si>
  <si>
    <t>133</t>
  </si>
  <si>
    <t>Линдинский эвенкийский национальный наслег</t>
  </si>
  <si>
    <t>98622422</t>
  </si>
  <si>
    <t>134</t>
  </si>
  <si>
    <t>Межселенная территория Жиганского национального эвенкийского муниципального района, включая территорию участка Джарджан</t>
  </si>
  <si>
    <t>98622710</t>
  </si>
  <si>
    <t>135</t>
  </si>
  <si>
    <t>Эвенкийское сельское поселение “Кыстатыам”</t>
  </si>
  <si>
    <t>98622417</t>
  </si>
  <si>
    <t>136</t>
  </si>
  <si>
    <t>Кобяйский муниципальный район</t>
  </si>
  <si>
    <t>98624000</t>
  </si>
  <si>
    <t>Арыктахский наслег</t>
  </si>
  <si>
    <t>98624405</t>
  </si>
  <si>
    <t>137</t>
  </si>
  <si>
    <t>Кировский эвенский национальный наслег</t>
  </si>
  <si>
    <t>98624414</t>
  </si>
  <si>
    <t>138</t>
  </si>
  <si>
    <t>139</t>
  </si>
  <si>
    <t>Кобяйский наслег</t>
  </si>
  <si>
    <t>98624419</t>
  </si>
  <si>
    <t>140</t>
  </si>
  <si>
    <t>Куокуйский наслег</t>
  </si>
  <si>
    <t>98624424</t>
  </si>
  <si>
    <t>141</t>
  </si>
  <si>
    <t>Ламынхинский эвенский национальный наслег</t>
  </si>
  <si>
    <t>98624429</t>
  </si>
  <si>
    <t>142</t>
  </si>
  <si>
    <t>Люччегинский 1-й наслег</t>
  </si>
  <si>
    <t>98624434</t>
  </si>
  <si>
    <t>143</t>
  </si>
  <si>
    <t>Люччегинский 2-й наслег</t>
  </si>
  <si>
    <t>98624435</t>
  </si>
  <si>
    <t>144</t>
  </si>
  <si>
    <t>Межселенная территория Кобяйского муниципального района, находящаяся вне границ городского и сельских поселений</t>
  </si>
  <si>
    <t>98624701</t>
  </si>
  <si>
    <t>145</t>
  </si>
  <si>
    <t>Мукучунский наслег</t>
  </si>
  <si>
    <t>98624440</t>
  </si>
  <si>
    <t>146</t>
  </si>
  <si>
    <t>Нижилинский наслег</t>
  </si>
  <si>
    <t>98624445</t>
  </si>
  <si>
    <t>147</t>
  </si>
  <si>
    <t>Поселок Сангар</t>
  </si>
  <si>
    <t>98624151</t>
  </si>
  <si>
    <t>148</t>
  </si>
  <si>
    <t>Ситтинский наслег</t>
  </si>
  <si>
    <t>98624450</t>
  </si>
  <si>
    <t>149</t>
  </si>
  <si>
    <t>Тыайинский наслег</t>
  </si>
  <si>
    <t>98624455</t>
  </si>
  <si>
    <t>150</t>
  </si>
  <si>
    <t>Ленский муниципальный район</t>
  </si>
  <si>
    <t>98627000</t>
  </si>
  <si>
    <t>Беченчинский наслег</t>
  </si>
  <si>
    <t>98627405</t>
  </si>
  <si>
    <t>151</t>
  </si>
  <si>
    <t>Город Ленск</t>
  </si>
  <si>
    <t>98627101</t>
  </si>
  <si>
    <t>152</t>
  </si>
  <si>
    <t>153</t>
  </si>
  <si>
    <t>Межселенная территория Ленского муниципального района, находящаяся вне границ городских и сельских поселений</t>
  </si>
  <si>
    <t>98627701</t>
  </si>
  <si>
    <t>154</t>
  </si>
  <si>
    <t>Мурбайский наслег</t>
  </si>
  <si>
    <t>98627420</t>
  </si>
  <si>
    <t>155</t>
  </si>
  <si>
    <t>Наторинский наслег</t>
  </si>
  <si>
    <t>98627428</t>
  </si>
  <si>
    <t>156</t>
  </si>
  <si>
    <t>Нюйский наслег</t>
  </si>
  <si>
    <t>98627430</t>
  </si>
  <si>
    <t>157</t>
  </si>
  <si>
    <t>Орто-Нахаринский наслег</t>
  </si>
  <si>
    <t>98627433</t>
  </si>
  <si>
    <t>158</t>
  </si>
  <si>
    <t>Поселок Витим</t>
  </si>
  <si>
    <t>98627153</t>
  </si>
  <si>
    <t>159</t>
  </si>
  <si>
    <t>Поселок Пеледуй</t>
  </si>
  <si>
    <t>98627157</t>
  </si>
  <si>
    <t>160</t>
  </si>
  <si>
    <t>Салдыкельский наслег</t>
  </si>
  <si>
    <t>98627436</t>
  </si>
  <si>
    <t>161</t>
  </si>
  <si>
    <t>Толонский наслег</t>
  </si>
  <si>
    <t>98627440</t>
  </si>
  <si>
    <t>162</t>
  </si>
  <si>
    <t>Ярославский наслег</t>
  </si>
  <si>
    <t>98627449</t>
  </si>
  <si>
    <t>163</t>
  </si>
  <si>
    <t>Мегино-Кангаласский муниципальный район</t>
  </si>
  <si>
    <t>98629000</t>
  </si>
  <si>
    <t>98629402</t>
  </si>
  <si>
    <t>164</t>
  </si>
  <si>
    <t>Арангасский наслег</t>
  </si>
  <si>
    <t>98629403</t>
  </si>
  <si>
    <t>165</t>
  </si>
  <si>
    <t>Батаринский 1-й наслег</t>
  </si>
  <si>
    <t>98629406</t>
  </si>
  <si>
    <t>166</t>
  </si>
  <si>
    <t>Батаринский наслег</t>
  </si>
  <si>
    <t>98629405</t>
  </si>
  <si>
    <t>167</t>
  </si>
  <si>
    <t>Бютейдяхский наслег</t>
  </si>
  <si>
    <t>98629409</t>
  </si>
  <si>
    <t>168</t>
  </si>
  <si>
    <t>Догдогинский наслег</t>
  </si>
  <si>
    <t>98629425</t>
  </si>
  <si>
    <t>169</t>
  </si>
  <si>
    <t>Дойдунский наслег</t>
  </si>
  <si>
    <t>98629413</t>
  </si>
  <si>
    <t>170</t>
  </si>
  <si>
    <t>Доллунский наслег</t>
  </si>
  <si>
    <t>98629411</t>
  </si>
  <si>
    <t>171</t>
  </si>
  <si>
    <t>Жабыльский наслег</t>
  </si>
  <si>
    <t>98629408</t>
  </si>
  <si>
    <t>172</t>
  </si>
  <si>
    <t>Жанхадинский наслег</t>
  </si>
  <si>
    <t>98629410</t>
  </si>
  <si>
    <t>173</t>
  </si>
  <si>
    <t>174</t>
  </si>
  <si>
    <t>Мегинский наслег</t>
  </si>
  <si>
    <t>98629420</t>
  </si>
  <si>
    <t>175</t>
  </si>
  <si>
    <t>Мегюренский наслег</t>
  </si>
  <si>
    <t>98629407</t>
  </si>
  <si>
    <t>176</t>
  </si>
  <si>
    <t>Мельжехсинский 3-й наслег</t>
  </si>
  <si>
    <t>98629451</t>
  </si>
  <si>
    <t>177</t>
  </si>
  <si>
    <t>Мельжехсинский наслег</t>
  </si>
  <si>
    <t>98629429</t>
  </si>
  <si>
    <t>178</t>
  </si>
  <si>
    <t>Морукский наслег</t>
  </si>
  <si>
    <t>98629436</t>
  </si>
  <si>
    <t>179</t>
  </si>
  <si>
    <t>Нахаринский 1-й наслег</t>
  </si>
  <si>
    <t>98629449</t>
  </si>
  <si>
    <t>180</t>
  </si>
  <si>
    <t>Нахаринский 2-й наслег</t>
  </si>
  <si>
    <t>98629440</t>
  </si>
  <si>
    <t>181</t>
  </si>
  <si>
    <t>Нерюктяйинский наслег</t>
  </si>
  <si>
    <t>98629445</t>
  </si>
  <si>
    <t>182</t>
  </si>
  <si>
    <t>Рассолодинский наслег</t>
  </si>
  <si>
    <t>98629447</t>
  </si>
  <si>
    <t>183</t>
  </si>
  <si>
    <t>Село Майя</t>
  </si>
  <si>
    <t>98629415</t>
  </si>
  <si>
    <t>184</t>
  </si>
  <si>
    <t>Тарагайский наслег</t>
  </si>
  <si>
    <t>98629448</t>
  </si>
  <si>
    <t>185</t>
  </si>
  <si>
    <t>Тыллыминский 1-й наслег</t>
  </si>
  <si>
    <t>98629450</t>
  </si>
  <si>
    <t>186</t>
  </si>
  <si>
    <t>Тыллыминский 2-й наслег</t>
  </si>
  <si>
    <t>98629452</t>
  </si>
  <si>
    <t>187</t>
  </si>
  <si>
    <t>Тюнгюлюнский наслег</t>
  </si>
  <si>
    <t>98629455</t>
  </si>
  <si>
    <t>188</t>
  </si>
  <si>
    <t>Хаптагайский наслег</t>
  </si>
  <si>
    <t>98629460</t>
  </si>
  <si>
    <t>189</t>
  </si>
  <si>
    <t>Харанский наслег</t>
  </si>
  <si>
    <t>98629462</t>
  </si>
  <si>
    <t>190</t>
  </si>
  <si>
    <t>Ходоринский наслег</t>
  </si>
  <si>
    <t>98629463</t>
  </si>
  <si>
    <t>191</t>
  </si>
  <si>
    <t>Холгуминский наслег</t>
  </si>
  <si>
    <t>98629464</t>
  </si>
  <si>
    <t>192</t>
  </si>
  <si>
    <t>Хоробутский наслег</t>
  </si>
  <si>
    <t>98629430</t>
  </si>
  <si>
    <t>193</t>
  </si>
  <si>
    <t>Чыамайыкинский наслег</t>
  </si>
  <si>
    <t>98629465</t>
  </si>
  <si>
    <t>194</t>
  </si>
  <si>
    <t>поселок Нижний Бестях</t>
  </si>
  <si>
    <t>98629155</t>
  </si>
  <si>
    <t>195</t>
  </si>
  <si>
    <t>Мирнинский муниципальный район</t>
  </si>
  <si>
    <t>98631000</t>
  </si>
  <si>
    <t>Ботуобуйинский наслег</t>
  </si>
  <si>
    <t>98631404</t>
  </si>
  <si>
    <t>196</t>
  </si>
  <si>
    <t>Город Мирный</t>
  </si>
  <si>
    <t>98631101</t>
  </si>
  <si>
    <t>197</t>
  </si>
  <si>
    <t>Город Удачный</t>
  </si>
  <si>
    <t>98631109</t>
  </si>
  <si>
    <t>198</t>
  </si>
  <si>
    <t>Межселенная территория Мирнинского муниципального района, находящаяся вне границ городских и сельских поселений</t>
  </si>
  <si>
    <t>98631701</t>
  </si>
  <si>
    <t>199</t>
  </si>
  <si>
    <t>200</t>
  </si>
  <si>
    <t>Посёлок Чернышевский</t>
  </si>
  <si>
    <t>98631162</t>
  </si>
  <si>
    <t>201</t>
  </si>
  <si>
    <t>Поселок Айхал</t>
  </si>
  <si>
    <t>98631152</t>
  </si>
  <si>
    <t>202</t>
  </si>
  <si>
    <t>Поселок Алмазный</t>
  </si>
  <si>
    <t>98631155</t>
  </si>
  <si>
    <t>203</t>
  </si>
  <si>
    <t>Поселок Светлый</t>
  </si>
  <si>
    <t>98631157</t>
  </si>
  <si>
    <t>204</t>
  </si>
  <si>
    <t>Садынский национальный эвенкийский наслег</t>
  </si>
  <si>
    <t>98631428</t>
  </si>
  <si>
    <t>205</t>
  </si>
  <si>
    <t>Чуонинский наслег</t>
  </si>
  <si>
    <t>98631450</t>
  </si>
  <si>
    <t>206</t>
  </si>
  <si>
    <t>Момский муниципальный район</t>
  </si>
  <si>
    <t>98633000</t>
  </si>
  <si>
    <t>Индигирский национальный наслег</t>
  </si>
  <si>
    <t>98633414</t>
  </si>
  <si>
    <t>207</t>
  </si>
  <si>
    <t>208</t>
  </si>
  <si>
    <t>Момский национальный наслег</t>
  </si>
  <si>
    <t>98633423</t>
  </si>
  <si>
    <t>209</t>
  </si>
  <si>
    <t>Соболохский национальный наслег</t>
  </si>
  <si>
    <t>98633428</t>
  </si>
  <si>
    <t>210</t>
  </si>
  <si>
    <t>Тебюляхский национальный наслег</t>
  </si>
  <si>
    <t>98633430</t>
  </si>
  <si>
    <t>211</t>
  </si>
  <si>
    <t>Улахан-Чистайский национальный наслег</t>
  </si>
  <si>
    <t>98633435</t>
  </si>
  <si>
    <t>212</t>
  </si>
  <si>
    <t>Чыбагалахский национальный наслег</t>
  </si>
  <si>
    <t>98633405</t>
  </si>
  <si>
    <t>213</t>
  </si>
  <si>
    <t>Намский муниципальный район</t>
  </si>
  <si>
    <t>98635000</t>
  </si>
  <si>
    <t>Арбынский наслег</t>
  </si>
  <si>
    <t>98635405</t>
  </si>
  <si>
    <t>214</t>
  </si>
  <si>
    <t>98635410</t>
  </si>
  <si>
    <t>215</t>
  </si>
  <si>
    <t>Едейский наслег</t>
  </si>
  <si>
    <t>98635415</t>
  </si>
  <si>
    <t>216</t>
  </si>
  <si>
    <t>Искровский наслег</t>
  </si>
  <si>
    <t>98635417</t>
  </si>
  <si>
    <t>217</t>
  </si>
  <si>
    <t>Кебекенский наслег</t>
  </si>
  <si>
    <t>98635420</t>
  </si>
  <si>
    <t>218</t>
  </si>
  <si>
    <t>Ленский наслег</t>
  </si>
  <si>
    <t>98635425</t>
  </si>
  <si>
    <t>219</t>
  </si>
  <si>
    <t>Маймагинский наслег</t>
  </si>
  <si>
    <t>98635470</t>
  </si>
  <si>
    <t>220</t>
  </si>
  <si>
    <t>Модутский наслег</t>
  </si>
  <si>
    <t>98635430</t>
  </si>
  <si>
    <t>221</t>
  </si>
  <si>
    <t>222</t>
  </si>
  <si>
    <t>Никольский наслег</t>
  </si>
  <si>
    <t>98635432</t>
  </si>
  <si>
    <t>223</t>
  </si>
  <si>
    <t>Партизанский наслег</t>
  </si>
  <si>
    <t>98635435</t>
  </si>
  <si>
    <t>224</t>
  </si>
  <si>
    <t>Салбанский наслег</t>
  </si>
  <si>
    <t>98635440</t>
  </si>
  <si>
    <t>225</t>
  </si>
  <si>
    <t>Тастахский наслег</t>
  </si>
  <si>
    <t>98635443</t>
  </si>
  <si>
    <t>226</t>
  </si>
  <si>
    <t>Тюбинский наслег</t>
  </si>
  <si>
    <t>98635445</t>
  </si>
  <si>
    <t>227</t>
  </si>
  <si>
    <t>Фрунзенский наслег</t>
  </si>
  <si>
    <t>98635447</t>
  </si>
  <si>
    <t>228</t>
  </si>
  <si>
    <t>Хамагаттинский наслег</t>
  </si>
  <si>
    <t>98635450</t>
  </si>
  <si>
    <t>229</t>
  </si>
  <si>
    <t>Хатын-Арынский наслег</t>
  </si>
  <si>
    <t>98635455</t>
  </si>
  <si>
    <t>230</t>
  </si>
  <si>
    <t>Хатырыкский наслег</t>
  </si>
  <si>
    <t>98635460</t>
  </si>
  <si>
    <t>231</t>
  </si>
  <si>
    <t>Хомустахский 1-й наслег</t>
  </si>
  <si>
    <t>98635465</t>
  </si>
  <si>
    <t>232</t>
  </si>
  <si>
    <t>Хомустахский 2-й наслег</t>
  </si>
  <si>
    <t>98635466</t>
  </si>
  <si>
    <t>233</t>
  </si>
  <si>
    <t>98660000</t>
  </si>
  <si>
    <t>Иенгринский эвенкийский национальный наслег</t>
  </si>
  <si>
    <t>98660405</t>
  </si>
  <si>
    <t>235</t>
  </si>
  <si>
    <t>Межселенные территории Нерюнгринского муниципального района, не вошедшие в территорию городских и сельского поселений</t>
  </si>
  <si>
    <t>98660701</t>
  </si>
  <si>
    <t>236</t>
  </si>
  <si>
    <t>237</t>
  </si>
  <si>
    <t>Посёлок Беркакит</t>
  </si>
  <si>
    <t>98660152</t>
  </si>
  <si>
    <t>238</t>
  </si>
  <si>
    <t>Посёлок Золотинка</t>
  </si>
  <si>
    <t>98660154</t>
  </si>
  <si>
    <t>239</t>
  </si>
  <si>
    <t>Поселок Серебряный Бор</t>
  </si>
  <si>
    <t>98660158</t>
  </si>
  <si>
    <t>240</t>
  </si>
  <si>
    <t>Поселок Хани</t>
  </si>
  <si>
    <t>98660164</t>
  </si>
  <si>
    <t>241</t>
  </si>
  <si>
    <t>Поселок Чульман</t>
  </si>
  <si>
    <t>98660165</t>
  </si>
  <si>
    <t>242</t>
  </si>
  <si>
    <t>Нижнеколымский муниципальный район</t>
  </si>
  <si>
    <t>98637000</t>
  </si>
  <si>
    <t>Национальный юкагирский "Олеринский Суктул"</t>
  </si>
  <si>
    <t>98637411</t>
  </si>
  <si>
    <t>243</t>
  </si>
  <si>
    <t>244</t>
  </si>
  <si>
    <t>Поселок Черский</t>
  </si>
  <si>
    <t>98637151</t>
  </si>
  <si>
    <t>245</t>
  </si>
  <si>
    <t>Походский наслег</t>
  </si>
  <si>
    <t>98637424</t>
  </si>
  <si>
    <t>246</t>
  </si>
  <si>
    <t>Чукотский национальный Халарчинский наслег</t>
  </si>
  <si>
    <t>98637437</t>
  </si>
  <si>
    <t>247</t>
  </si>
  <si>
    <t>Нюрбинский муниципальный район</t>
  </si>
  <si>
    <t>98626000</t>
  </si>
  <si>
    <t>Аканинский наслег</t>
  </si>
  <si>
    <t>98626405</t>
  </si>
  <si>
    <t>248</t>
  </si>
  <si>
    <t>Бордонский наслег</t>
  </si>
  <si>
    <t>98626410</t>
  </si>
  <si>
    <t>249</t>
  </si>
  <si>
    <t>Город Нюрба</t>
  </si>
  <si>
    <t>98626101</t>
  </si>
  <si>
    <t>250</t>
  </si>
  <si>
    <t>Дикимдинский наслег</t>
  </si>
  <si>
    <t>98626413</t>
  </si>
  <si>
    <t>251</t>
  </si>
  <si>
    <t>98626414</t>
  </si>
  <si>
    <t>252</t>
  </si>
  <si>
    <t>Жарханский наслег</t>
  </si>
  <si>
    <t>98626415</t>
  </si>
  <si>
    <t>253</t>
  </si>
  <si>
    <t>Кангаласский наслег</t>
  </si>
  <si>
    <t>98626420</t>
  </si>
  <si>
    <t>254</t>
  </si>
  <si>
    <t>Кюндядинский наслег</t>
  </si>
  <si>
    <t>98626425</t>
  </si>
  <si>
    <t>255</t>
  </si>
  <si>
    <t>Мальжагарский наслег</t>
  </si>
  <si>
    <t>98626430</t>
  </si>
  <si>
    <t>256</t>
  </si>
  <si>
    <t>Мархинский наслег</t>
  </si>
  <si>
    <t>98626435</t>
  </si>
  <si>
    <t>257</t>
  </si>
  <si>
    <t>Мегежекский наслег</t>
  </si>
  <si>
    <t>98626440</t>
  </si>
  <si>
    <t>258</t>
  </si>
  <si>
    <t>Нюрбачанский наслег</t>
  </si>
  <si>
    <t>98626450</t>
  </si>
  <si>
    <t>259</t>
  </si>
  <si>
    <t>260</t>
  </si>
  <si>
    <t>98626445</t>
  </si>
  <si>
    <t>261</t>
  </si>
  <si>
    <t>Сюлинский наслег</t>
  </si>
  <si>
    <t>98626452</t>
  </si>
  <si>
    <t>262</t>
  </si>
  <si>
    <t>Тюмюкский наслег</t>
  </si>
  <si>
    <t>98626460</t>
  </si>
  <si>
    <t>263</t>
  </si>
  <si>
    <t>Тюркайинский наслег</t>
  </si>
  <si>
    <t>98626455</t>
  </si>
  <si>
    <t>264</t>
  </si>
  <si>
    <t>Хорулинский наслег</t>
  </si>
  <si>
    <t>98626465</t>
  </si>
  <si>
    <t>265</t>
  </si>
  <si>
    <t>Чаппандинский наслег</t>
  </si>
  <si>
    <t>98626470</t>
  </si>
  <si>
    <t>266</t>
  </si>
  <si>
    <t>Чукарский наслег</t>
  </si>
  <si>
    <t>98626475</t>
  </si>
  <si>
    <t>267</t>
  </si>
  <si>
    <t>Оймяконский муниципальный район</t>
  </si>
  <si>
    <t>98639000</t>
  </si>
  <si>
    <t>Борогонский 2-й наслег</t>
  </si>
  <si>
    <t>98639410</t>
  </si>
  <si>
    <t>268</t>
  </si>
  <si>
    <t>Межселенная территория Оймяконского муниципального района, находящаяся вне границ городских и сельских поселений</t>
  </si>
  <si>
    <t>98639701</t>
  </si>
  <si>
    <t>269</t>
  </si>
  <si>
    <t>Оймякон Полюс Холода</t>
  </si>
  <si>
    <t>98639405</t>
  </si>
  <si>
    <t>270</t>
  </si>
  <si>
    <t>271</t>
  </si>
  <si>
    <t>Посёлок Артык</t>
  </si>
  <si>
    <t>98639153</t>
  </si>
  <si>
    <t>272</t>
  </si>
  <si>
    <t>Поселок Усть-Нера</t>
  </si>
  <si>
    <t>98639151</t>
  </si>
  <si>
    <t>273</t>
  </si>
  <si>
    <t>Сордоннохский национальный наслег</t>
  </si>
  <si>
    <t>98639427</t>
  </si>
  <si>
    <t>274</t>
  </si>
  <si>
    <t>Терютский наслег</t>
  </si>
  <si>
    <t>98639432</t>
  </si>
  <si>
    <t>275</t>
  </si>
  <si>
    <t>Ючюгейский национальный наслег</t>
  </si>
  <si>
    <t>98639445</t>
  </si>
  <si>
    <t>276</t>
  </si>
  <si>
    <t>Олекминский муниципальный район</t>
  </si>
  <si>
    <t>98641000</t>
  </si>
  <si>
    <t>98641405</t>
  </si>
  <si>
    <t>277</t>
  </si>
  <si>
    <t>Город Олекминск</t>
  </si>
  <si>
    <t>98641101</t>
  </si>
  <si>
    <t>278</t>
  </si>
  <si>
    <t>Дабанский наслег</t>
  </si>
  <si>
    <t>98641410</t>
  </si>
  <si>
    <t>279</t>
  </si>
  <si>
    <t>Дельгейский наслег</t>
  </si>
  <si>
    <t>98641415</t>
  </si>
  <si>
    <t>280</t>
  </si>
  <si>
    <t>Жарханский национальный наслег</t>
  </si>
  <si>
    <t>98641420</t>
  </si>
  <si>
    <t>281</t>
  </si>
  <si>
    <t>Киндигирский национальный наслег</t>
  </si>
  <si>
    <t>98641425</t>
  </si>
  <si>
    <t>282</t>
  </si>
  <si>
    <t>Кыллахский наслег</t>
  </si>
  <si>
    <t>98641430</t>
  </si>
  <si>
    <t>283</t>
  </si>
  <si>
    <t>Кяччинский наслег</t>
  </si>
  <si>
    <t>98641434</t>
  </si>
  <si>
    <t>284</t>
  </si>
  <si>
    <t>98641435</t>
  </si>
  <si>
    <t>285</t>
  </si>
  <si>
    <t>Мачинский наслег</t>
  </si>
  <si>
    <t>98641440</t>
  </si>
  <si>
    <t>286</t>
  </si>
  <si>
    <t>Нерюктяйинский 1-й наслег</t>
  </si>
  <si>
    <t>98641445</t>
  </si>
  <si>
    <t>287</t>
  </si>
  <si>
    <t>Нерюктяйинский 2-й наслег</t>
  </si>
  <si>
    <t>98641450</t>
  </si>
  <si>
    <t>288</t>
  </si>
  <si>
    <t>289</t>
  </si>
  <si>
    <t>Олекминский наслег</t>
  </si>
  <si>
    <t>98641453</t>
  </si>
  <si>
    <t>290</t>
  </si>
  <si>
    <t>Посёлок Заречный</t>
  </si>
  <si>
    <t>98641493</t>
  </si>
  <si>
    <t>291</t>
  </si>
  <si>
    <t>Саныяхтахский наслег</t>
  </si>
  <si>
    <t>98641460</t>
  </si>
  <si>
    <t>292</t>
  </si>
  <si>
    <t>Солянский наслег</t>
  </si>
  <si>
    <t>98641465</t>
  </si>
  <si>
    <t>293</t>
  </si>
  <si>
    <t>Троицкий наслег</t>
  </si>
  <si>
    <t>98641470</t>
  </si>
  <si>
    <t>294</t>
  </si>
  <si>
    <t>Тянский национальный наслег</t>
  </si>
  <si>
    <t>98641475</t>
  </si>
  <si>
    <t>295</t>
  </si>
  <si>
    <t>Улахан-Мунгкунский наслег</t>
  </si>
  <si>
    <t>98641477</t>
  </si>
  <si>
    <t>296</t>
  </si>
  <si>
    <t>Урицкий наслег</t>
  </si>
  <si>
    <t>98641480</t>
  </si>
  <si>
    <t>297</t>
  </si>
  <si>
    <t>98641485</t>
  </si>
  <si>
    <t>298</t>
  </si>
  <si>
    <t>Чапаевский наслег</t>
  </si>
  <si>
    <t>98641487</t>
  </si>
  <si>
    <t>299</t>
  </si>
  <si>
    <t>Чаринский национальный наслег</t>
  </si>
  <si>
    <t>98641490</t>
  </si>
  <si>
    <t>300</t>
  </si>
  <si>
    <t>Оленекский эвенкийский национальный муниципальный район</t>
  </si>
  <si>
    <t>98642000</t>
  </si>
  <si>
    <t>Жилиндинский национальный наслег</t>
  </si>
  <si>
    <t>98642411</t>
  </si>
  <si>
    <t>301</t>
  </si>
  <si>
    <t>Кирбейский национальный наслег</t>
  </si>
  <si>
    <t>98642424</t>
  </si>
  <si>
    <t>302</t>
  </si>
  <si>
    <t>Межселенные территории Оленекского эвенкийского национального муниципального района, включая территории ресурсных резерватов (эркээйи-сирдэри) "Бэкэ", "Бириктэ", "Алакит", "Мархара" и месторождений редкоземельных металлов</t>
  </si>
  <si>
    <t>98642701</t>
  </si>
  <si>
    <t>303</t>
  </si>
  <si>
    <t>Оленекский национальный наслег</t>
  </si>
  <si>
    <t>98642437</t>
  </si>
  <si>
    <t>304</t>
  </si>
  <si>
    <t>305</t>
  </si>
  <si>
    <t>Шологонский национальный наслег</t>
  </si>
  <si>
    <t>98642450</t>
  </si>
  <si>
    <t>306</t>
  </si>
  <si>
    <t>Среднеколымский муниципальный район</t>
  </si>
  <si>
    <t>98646000</t>
  </si>
  <si>
    <t>Алазейский наслег</t>
  </si>
  <si>
    <t>98646405</t>
  </si>
  <si>
    <t>307</t>
  </si>
  <si>
    <t>Байдинский наслег</t>
  </si>
  <si>
    <t>98646410</t>
  </si>
  <si>
    <t>308</t>
  </si>
  <si>
    <t>Берёзовский Национальный (Кочевой) наслег</t>
  </si>
  <si>
    <t>98646415</t>
  </si>
  <si>
    <t>309</t>
  </si>
  <si>
    <t>Город Среднеколымск</t>
  </si>
  <si>
    <t>98646101</t>
  </si>
  <si>
    <t>310</t>
  </si>
  <si>
    <t>Кангаласский 1-й наслег</t>
  </si>
  <si>
    <t>98646420</t>
  </si>
  <si>
    <t>311</t>
  </si>
  <si>
    <t>Кангаласский 2-й наслег</t>
  </si>
  <si>
    <t>98646422</t>
  </si>
  <si>
    <t>312</t>
  </si>
  <si>
    <t>Мятисский 1-й наслег</t>
  </si>
  <si>
    <t>98646435</t>
  </si>
  <si>
    <t>313</t>
  </si>
  <si>
    <t>Мятисский 2-й наслег</t>
  </si>
  <si>
    <t>98646436</t>
  </si>
  <si>
    <t>314</t>
  </si>
  <si>
    <t>Сень-Кюельский наслег</t>
  </si>
  <si>
    <t>98646442</t>
  </si>
  <si>
    <t>315</t>
  </si>
  <si>
    <t>316</t>
  </si>
  <si>
    <t>Хатынгнахский наслег</t>
  </si>
  <si>
    <t>98646448</t>
  </si>
  <si>
    <t>317</t>
  </si>
  <si>
    <t>Сунтарский муниципальный район</t>
  </si>
  <si>
    <t>98648000</t>
  </si>
  <si>
    <t>Аллагинский наслег</t>
  </si>
  <si>
    <t>98648404</t>
  </si>
  <si>
    <t>318</t>
  </si>
  <si>
    <t>98648405</t>
  </si>
  <si>
    <t>319</t>
  </si>
  <si>
    <t>98648410</t>
  </si>
  <si>
    <t>320</t>
  </si>
  <si>
    <t>Вилючанский наслег</t>
  </si>
  <si>
    <t>98648415</t>
  </si>
  <si>
    <t>321</t>
  </si>
  <si>
    <t>98648420</t>
  </si>
  <si>
    <t>322</t>
  </si>
  <si>
    <t>Илимнирский наслег</t>
  </si>
  <si>
    <t>98648422</t>
  </si>
  <si>
    <t>323</t>
  </si>
  <si>
    <t>Кемпендяйский наслег</t>
  </si>
  <si>
    <t>98648425</t>
  </si>
  <si>
    <t>324</t>
  </si>
  <si>
    <t>Крестяхский наслег</t>
  </si>
  <si>
    <t>98648430</t>
  </si>
  <si>
    <t>325</t>
  </si>
  <si>
    <t>Куокунинский наслег</t>
  </si>
  <si>
    <t>98648435</t>
  </si>
  <si>
    <t>326</t>
  </si>
  <si>
    <t>Кутанинский наслег</t>
  </si>
  <si>
    <t>98648440</t>
  </si>
  <si>
    <t>327</t>
  </si>
  <si>
    <t>Кюкяйский наслег</t>
  </si>
  <si>
    <t>98648443</t>
  </si>
  <si>
    <t>328</t>
  </si>
  <si>
    <t>Кюндяйинский наслег</t>
  </si>
  <si>
    <t>98648445</t>
  </si>
  <si>
    <t>329</t>
  </si>
  <si>
    <t>Мар-Кюельский наслег</t>
  </si>
  <si>
    <t>98648450</t>
  </si>
  <si>
    <t>330</t>
  </si>
  <si>
    <t>Нахаринский наслег</t>
  </si>
  <si>
    <t>98648452</t>
  </si>
  <si>
    <t>331</t>
  </si>
  <si>
    <t>332</t>
  </si>
  <si>
    <t>Сунтарский наслег</t>
  </si>
  <si>
    <t>98648455</t>
  </si>
  <si>
    <t>333</t>
  </si>
  <si>
    <t>Тенкинский наслег</t>
  </si>
  <si>
    <t>98648457</t>
  </si>
  <si>
    <t>334</t>
  </si>
  <si>
    <t>Тойбохойский наслег</t>
  </si>
  <si>
    <t>98648460</t>
  </si>
  <si>
    <t>335</t>
  </si>
  <si>
    <t>98648459</t>
  </si>
  <si>
    <t>336</t>
  </si>
  <si>
    <t>Туойдахский наслег</t>
  </si>
  <si>
    <t>98648461</t>
  </si>
  <si>
    <t>337</t>
  </si>
  <si>
    <t>Тюбяй-Жарханский наслег</t>
  </si>
  <si>
    <t>98648462</t>
  </si>
  <si>
    <t>338</t>
  </si>
  <si>
    <t>Тюбяйский наслег</t>
  </si>
  <si>
    <t>98648463</t>
  </si>
  <si>
    <t>339</t>
  </si>
  <si>
    <t>Устьинский наслег</t>
  </si>
  <si>
    <t>98648480</t>
  </si>
  <si>
    <t>340</t>
  </si>
  <si>
    <t>Хаданский наслег</t>
  </si>
  <si>
    <t>98648465</t>
  </si>
  <si>
    <t>341</t>
  </si>
  <si>
    <t>98648466</t>
  </si>
  <si>
    <t>342</t>
  </si>
  <si>
    <t>Шеинский наслег</t>
  </si>
  <si>
    <t>98648470</t>
  </si>
  <si>
    <t>343</t>
  </si>
  <si>
    <t>Эльгяйский наслег</t>
  </si>
  <si>
    <t>98648475</t>
  </si>
  <si>
    <t>344</t>
  </si>
  <si>
    <t>Таттинский муниципальный район</t>
  </si>
  <si>
    <t>98604000</t>
  </si>
  <si>
    <t>Алданский наслег</t>
  </si>
  <si>
    <t>98604405</t>
  </si>
  <si>
    <t>345</t>
  </si>
  <si>
    <t>98604410</t>
  </si>
  <si>
    <t>346</t>
  </si>
  <si>
    <t>Баягинский наслег</t>
  </si>
  <si>
    <t>98604415</t>
  </si>
  <si>
    <t>347</t>
  </si>
  <si>
    <t>Дайа-Амгинский наслег</t>
  </si>
  <si>
    <t>98604418</t>
  </si>
  <si>
    <t>348</t>
  </si>
  <si>
    <t>Жохсогонский наслег</t>
  </si>
  <si>
    <t>98604420</t>
  </si>
  <si>
    <t>349</t>
  </si>
  <si>
    <t>Жулейский наслег</t>
  </si>
  <si>
    <t>98604425</t>
  </si>
  <si>
    <t>350</t>
  </si>
  <si>
    <t>Игидейский наслег</t>
  </si>
  <si>
    <t>98604430</t>
  </si>
  <si>
    <t>351</t>
  </si>
  <si>
    <t>98604435</t>
  </si>
  <si>
    <t>352</t>
  </si>
  <si>
    <t>Средне-Амгинский наслег</t>
  </si>
  <si>
    <t>98604440</t>
  </si>
  <si>
    <t>353</t>
  </si>
  <si>
    <t>354</t>
  </si>
  <si>
    <t>Таттинский наслег</t>
  </si>
  <si>
    <t>98604445</t>
  </si>
  <si>
    <t>355</t>
  </si>
  <si>
    <t>Тыарасинский наслег</t>
  </si>
  <si>
    <t>98604450</t>
  </si>
  <si>
    <t>356</t>
  </si>
  <si>
    <t>Уолбинский наслег</t>
  </si>
  <si>
    <t>98604455</t>
  </si>
  <si>
    <t>357</t>
  </si>
  <si>
    <t>Усть-Амгинский наслег</t>
  </si>
  <si>
    <t>98604460</t>
  </si>
  <si>
    <t>358</t>
  </si>
  <si>
    <t>Хара-Алданский наслег</t>
  </si>
  <si>
    <t>98604465</t>
  </si>
  <si>
    <t>359</t>
  </si>
  <si>
    <t>Томпонский муниципальный район</t>
  </si>
  <si>
    <t>98650000</t>
  </si>
  <si>
    <t>Баягантайский наслег</t>
  </si>
  <si>
    <t>98650405</t>
  </si>
  <si>
    <t>360</t>
  </si>
  <si>
    <t>Мегино-Алданский наслег</t>
  </si>
  <si>
    <t>98650415</t>
  </si>
  <si>
    <t>361</t>
  </si>
  <si>
    <t>Охот-Перевозовский наслег</t>
  </si>
  <si>
    <t>98650425</t>
  </si>
  <si>
    <t>362</t>
  </si>
  <si>
    <t>Поселок Джебарики-Хая</t>
  </si>
  <si>
    <t>98650152</t>
  </si>
  <si>
    <t>363</t>
  </si>
  <si>
    <t>Поселок Хандыга</t>
  </si>
  <si>
    <t>98650151</t>
  </si>
  <si>
    <t>364</t>
  </si>
  <si>
    <t>Сасыльский наслег</t>
  </si>
  <si>
    <t>98650430</t>
  </si>
  <si>
    <t>365</t>
  </si>
  <si>
    <t>Теплоключевской наслег</t>
  </si>
  <si>
    <t>98650433</t>
  </si>
  <si>
    <t>366</t>
  </si>
  <si>
    <t>367</t>
  </si>
  <si>
    <t>Томпонский национальный (эвенский) наслег</t>
  </si>
  <si>
    <t>98650435</t>
  </si>
  <si>
    <t>368</t>
  </si>
  <si>
    <t>Ынгинский наслег</t>
  </si>
  <si>
    <t>98650440</t>
  </si>
  <si>
    <t>369</t>
  </si>
  <si>
    <t>Усть-Алданский муниципальный район</t>
  </si>
  <si>
    <t>98652000</t>
  </si>
  <si>
    <t>Байагантайский 2-й наслег</t>
  </si>
  <si>
    <t>98652472</t>
  </si>
  <si>
    <t>370</t>
  </si>
  <si>
    <t>Батагайский наслег</t>
  </si>
  <si>
    <t>98652405</t>
  </si>
  <si>
    <t>371</t>
  </si>
  <si>
    <t>98652410</t>
  </si>
  <si>
    <t>372</t>
  </si>
  <si>
    <t>Берт-Усовский наслег</t>
  </si>
  <si>
    <t>98652420</t>
  </si>
  <si>
    <t>373</t>
  </si>
  <si>
    <t>98652415</t>
  </si>
  <si>
    <t>374</t>
  </si>
  <si>
    <t>Бярийинский наслег</t>
  </si>
  <si>
    <t>98652425</t>
  </si>
  <si>
    <t>375</t>
  </si>
  <si>
    <t>Дюпсюнский наслег</t>
  </si>
  <si>
    <t>98652430</t>
  </si>
  <si>
    <t>376</t>
  </si>
  <si>
    <t>Курбусахский наслег</t>
  </si>
  <si>
    <t>98652435</t>
  </si>
  <si>
    <t>377</t>
  </si>
  <si>
    <t>Легойский 2-й наслег</t>
  </si>
  <si>
    <t>98652473</t>
  </si>
  <si>
    <t>378</t>
  </si>
  <si>
    <t>Легойский наслег</t>
  </si>
  <si>
    <t>98652440</t>
  </si>
  <si>
    <t>379</t>
  </si>
  <si>
    <t>Мюрюнский наслег</t>
  </si>
  <si>
    <t>98652445</t>
  </si>
  <si>
    <t>380</t>
  </si>
  <si>
    <t>Наяхинский наслег</t>
  </si>
  <si>
    <t>98652450</t>
  </si>
  <si>
    <t>381</t>
  </si>
  <si>
    <t>Ольтехский наслег</t>
  </si>
  <si>
    <t>98652455</t>
  </si>
  <si>
    <t>382</t>
  </si>
  <si>
    <t>Онерский наслег</t>
  </si>
  <si>
    <t>98652460</t>
  </si>
  <si>
    <t>383</t>
  </si>
  <si>
    <t>Оспехский 1-й наслег</t>
  </si>
  <si>
    <t>98652467</t>
  </si>
  <si>
    <t>384</t>
  </si>
  <si>
    <t>Оспехский наслег</t>
  </si>
  <si>
    <t>98652465</t>
  </si>
  <si>
    <t>385</t>
  </si>
  <si>
    <t>Суоттунский наслег</t>
  </si>
  <si>
    <t>98652470</t>
  </si>
  <si>
    <t>386</t>
  </si>
  <si>
    <t>Тюляхский наслег</t>
  </si>
  <si>
    <t>98652475</t>
  </si>
  <si>
    <t>387</t>
  </si>
  <si>
    <t>388</t>
  </si>
  <si>
    <t>Хоринский 1-й наслег</t>
  </si>
  <si>
    <t>98652490</t>
  </si>
  <si>
    <t>389</t>
  </si>
  <si>
    <t>98652480</t>
  </si>
  <si>
    <t>390</t>
  </si>
  <si>
    <t>Чериктейский наслег</t>
  </si>
  <si>
    <t>98652485</t>
  </si>
  <si>
    <t>391</t>
  </si>
  <si>
    <t>Усть-Майский муниципальный район</t>
  </si>
  <si>
    <t>98654000</t>
  </si>
  <si>
    <t>Кюпский эвенкийский национальный наслег</t>
  </si>
  <si>
    <t>98654410</t>
  </si>
  <si>
    <t>392</t>
  </si>
  <si>
    <t>Межселенные территории Усть-Майского муниципального района, находящиеся вне границ городского и сельских поселений (бывшие территории поселков Аллах-Юнь, Бриндакит, Ыныкчан)</t>
  </si>
  <si>
    <t>98654701</t>
  </si>
  <si>
    <t>393</t>
  </si>
  <si>
    <t>Петропавловский Национальный наслег</t>
  </si>
  <si>
    <t>98654420</t>
  </si>
  <si>
    <t>394</t>
  </si>
  <si>
    <t>Посёлок Солнечный</t>
  </si>
  <si>
    <t>98654158</t>
  </si>
  <si>
    <t>395</t>
  </si>
  <si>
    <t>Поселок Звёздочка</t>
  </si>
  <si>
    <t>98654156</t>
  </si>
  <si>
    <t>396</t>
  </si>
  <si>
    <t>Поселок Усть-Мая</t>
  </si>
  <si>
    <t>98654151</t>
  </si>
  <si>
    <t>397</t>
  </si>
  <si>
    <t>Поселок Эльдикан</t>
  </si>
  <si>
    <t>98654164</t>
  </si>
  <si>
    <t>398</t>
  </si>
  <si>
    <t>Поселок Югоренок</t>
  </si>
  <si>
    <t>98654166</t>
  </si>
  <si>
    <t>399</t>
  </si>
  <si>
    <t>Село Белькачи</t>
  </si>
  <si>
    <t>98654405</t>
  </si>
  <si>
    <t>400</t>
  </si>
  <si>
    <t>Село Усть-Миль</t>
  </si>
  <si>
    <t>98654415</t>
  </si>
  <si>
    <t>401</t>
  </si>
  <si>
    <t>402</t>
  </si>
  <si>
    <t>Эжанский Национальный наслег</t>
  </si>
  <si>
    <t>98654425</t>
  </si>
  <si>
    <t>403</t>
  </si>
  <si>
    <t>Усть-Янский муниципальный район</t>
  </si>
  <si>
    <t>98656000</t>
  </si>
  <si>
    <t>Казачинский Национальный наслег</t>
  </si>
  <si>
    <t>98656405</t>
  </si>
  <si>
    <t>404</t>
  </si>
  <si>
    <t>Омолойский Национальный наслег</t>
  </si>
  <si>
    <t>98656410</t>
  </si>
  <si>
    <t>405</t>
  </si>
  <si>
    <t>Посёлок Нижнеянск</t>
  </si>
  <si>
    <t>98656159</t>
  </si>
  <si>
    <t>406</t>
  </si>
  <si>
    <t>Поселок Депутатский</t>
  </si>
  <si>
    <t>98656151</t>
  </si>
  <si>
    <t>407</t>
  </si>
  <si>
    <t>Поселок Усть-Куйга</t>
  </si>
  <si>
    <t>98656165</t>
  </si>
  <si>
    <t>408</t>
  </si>
  <si>
    <t>Силянняхский Национальный наслег</t>
  </si>
  <si>
    <t>98656415</t>
  </si>
  <si>
    <t>409</t>
  </si>
  <si>
    <t>Туматский Национальный наслег</t>
  </si>
  <si>
    <t>98656420</t>
  </si>
  <si>
    <t>410</t>
  </si>
  <si>
    <t>Усть-Янский Национальный наслег</t>
  </si>
  <si>
    <t>98656425</t>
  </si>
  <si>
    <t>411</t>
  </si>
  <si>
    <t>412</t>
  </si>
  <si>
    <t>Уяндинский эвенский национальный наслег</t>
  </si>
  <si>
    <t>98656427</t>
  </si>
  <si>
    <t>413</t>
  </si>
  <si>
    <t>Юкагирский Национальный (Кочевой) наслег</t>
  </si>
  <si>
    <t>98656435</t>
  </si>
  <si>
    <t>414</t>
  </si>
  <si>
    <t>Хангаласский муниципальный район</t>
  </si>
  <si>
    <t>98644000</t>
  </si>
  <si>
    <t>98644403</t>
  </si>
  <si>
    <t>415</t>
  </si>
  <si>
    <t>Город Покровск</t>
  </si>
  <si>
    <t>98644101</t>
  </si>
  <si>
    <t>416</t>
  </si>
  <si>
    <t>Жемконский 1-й наслег</t>
  </si>
  <si>
    <t>98644406</t>
  </si>
  <si>
    <t>417</t>
  </si>
  <si>
    <t>Жемконский 2-й наслег</t>
  </si>
  <si>
    <t>98644407</t>
  </si>
  <si>
    <t>418</t>
  </si>
  <si>
    <t>Жерский наслег</t>
  </si>
  <si>
    <t>98644409</t>
  </si>
  <si>
    <t>419</t>
  </si>
  <si>
    <t>Иситский наслег</t>
  </si>
  <si>
    <t>98644412</t>
  </si>
  <si>
    <t>420</t>
  </si>
  <si>
    <t>Качикатский наслег</t>
  </si>
  <si>
    <t>98644418</t>
  </si>
  <si>
    <t>421</t>
  </si>
  <si>
    <t>Мальжагарский 1-й наслег</t>
  </si>
  <si>
    <t>98644423</t>
  </si>
  <si>
    <t>422</t>
  </si>
  <si>
    <t>Мальжагарский 2-й наслег</t>
  </si>
  <si>
    <t>98644425</t>
  </si>
  <si>
    <t>423</t>
  </si>
  <si>
    <t>Мальжагарский 4-й наслег</t>
  </si>
  <si>
    <t>98644427</t>
  </si>
  <si>
    <t>424</t>
  </si>
  <si>
    <t>Мальжагарский 5-й наслег</t>
  </si>
  <si>
    <t>98644428</t>
  </si>
  <si>
    <t>425</t>
  </si>
  <si>
    <t>Немюгюнский наслег</t>
  </si>
  <si>
    <t>98644435</t>
  </si>
  <si>
    <t>426</t>
  </si>
  <si>
    <t>Октемский наслег</t>
  </si>
  <si>
    <t>98644440</t>
  </si>
  <si>
    <t>427</t>
  </si>
  <si>
    <t>Посёлок Мохсоголлох</t>
  </si>
  <si>
    <t>98644157</t>
  </si>
  <si>
    <t>428</t>
  </si>
  <si>
    <t>Синский наслег</t>
  </si>
  <si>
    <t>98644445</t>
  </si>
  <si>
    <t>429</t>
  </si>
  <si>
    <t>Техтюрский наслег</t>
  </si>
  <si>
    <t>98644447</t>
  </si>
  <si>
    <t>430</t>
  </si>
  <si>
    <t>Тит-Аринский наслег</t>
  </si>
  <si>
    <t>98644450</t>
  </si>
  <si>
    <t>431</t>
  </si>
  <si>
    <t>Тумульский наслег</t>
  </si>
  <si>
    <t>98644453</t>
  </si>
  <si>
    <t>432</t>
  </si>
  <si>
    <t>433</t>
  </si>
  <si>
    <t>Чурапчинский муниципальный район</t>
  </si>
  <si>
    <t>98658000</t>
  </si>
  <si>
    <t>Алагарский наслег</t>
  </si>
  <si>
    <t>98658402</t>
  </si>
  <si>
    <t>434</t>
  </si>
  <si>
    <t>98658423</t>
  </si>
  <si>
    <t>435</t>
  </si>
  <si>
    <t>Бахсытский наслег</t>
  </si>
  <si>
    <t>98658407</t>
  </si>
  <si>
    <t>436</t>
  </si>
  <si>
    <t>Болтогинский наслег</t>
  </si>
  <si>
    <t>98658410</t>
  </si>
  <si>
    <t>437</t>
  </si>
  <si>
    <t>98658415</t>
  </si>
  <si>
    <t>438</t>
  </si>
  <si>
    <t>Кытанахский наслег</t>
  </si>
  <si>
    <t>98658420</t>
  </si>
  <si>
    <t>439</t>
  </si>
  <si>
    <t>Мугудайский наслег</t>
  </si>
  <si>
    <t>98658425</t>
  </si>
  <si>
    <t>440</t>
  </si>
  <si>
    <t>Ожулунский наслег</t>
  </si>
  <si>
    <t>98658430</t>
  </si>
  <si>
    <t>441</t>
  </si>
  <si>
    <t>Соловьёвский наслег</t>
  </si>
  <si>
    <t>98658435</t>
  </si>
  <si>
    <t>442</t>
  </si>
  <si>
    <t>Сыланский наслег</t>
  </si>
  <si>
    <t>98658440</t>
  </si>
  <si>
    <t>443</t>
  </si>
  <si>
    <t>Телейский наслег</t>
  </si>
  <si>
    <t>98658442</t>
  </si>
  <si>
    <t>444</t>
  </si>
  <si>
    <t>Хадарский наслег</t>
  </si>
  <si>
    <t>98658445</t>
  </si>
  <si>
    <t>445</t>
  </si>
  <si>
    <t>Хатылынский наслег</t>
  </si>
  <si>
    <t>98658450</t>
  </si>
  <si>
    <t>446</t>
  </si>
  <si>
    <t>Хаяхсытский наслег</t>
  </si>
  <si>
    <t>98658455</t>
  </si>
  <si>
    <t>447</t>
  </si>
  <si>
    <t>Хоптогинский наслег</t>
  </si>
  <si>
    <t>98658460</t>
  </si>
  <si>
    <t>448</t>
  </si>
  <si>
    <t>98658465</t>
  </si>
  <si>
    <t>449</t>
  </si>
  <si>
    <t>450</t>
  </si>
  <si>
    <t>Чурапчинский наслег</t>
  </si>
  <si>
    <t>98658470</t>
  </si>
  <si>
    <t>451</t>
  </si>
  <si>
    <t>Эвено-Бытантайский национальный муниципальный район</t>
  </si>
  <si>
    <t>98659000</t>
  </si>
  <si>
    <t>Верхне-Бытантайский наслег</t>
  </si>
  <si>
    <t>98659405</t>
  </si>
  <si>
    <t>452</t>
  </si>
  <si>
    <t>Нижне-Бытантайский наслег</t>
  </si>
  <si>
    <t>98659415</t>
  </si>
  <si>
    <t>453</t>
  </si>
  <si>
    <t>Тюгясирский наслег</t>
  </si>
  <si>
    <t>98659420</t>
  </si>
  <si>
    <t>454</t>
  </si>
  <si>
    <t>455</t>
  </si>
  <si>
    <t>NUMBER_POINT</t>
  </si>
  <si>
    <t>INVP_NAME</t>
  </si>
  <si>
    <t>INVP_ID</t>
  </si>
  <si>
    <t>L_START_DATE</t>
  </si>
  <si>
    <t>L_END_DATE</t>
  </si>
  <si>
    <t>L_DECISION_NAME</t>
  </si>
  <si>
    <t>L_DECISION_TYPE</t>
  </si>
  <si>
    <t>L_DECISION_NMBR</t>
  </si>
  <si>
    <t>L_DECISION_DATE</t>
  </si>
  <si>
    <t>Инвестиционная программа № 15@ от 18.12.2025 ЦЕНТРАЛЬНЫЕ ЭЛЕКТРИЧЕСКИЕ СЕТИ в сфере холодного водоснабжения по строительству инфраструктуры на 2025-2030 годы</t>
  </si>
  <si>
    <t>19.12.2025</t>
  </si>
  <si>
    <t>31.12.2030</t>
  </si>
  <si>
    <t>Инвестиционная программа № 33a от 12.12.2024 ПАО "Якутскэнерго" ЦЭС в сфере холодного водоснабжения по модернизации и строительству систем инженерной инфраструктуры на 2024-2029 годы</t>
  </si>
  <si>
    <t>12.12.2024</t>
  </si>
  <si>
    <t>31.12.2029</t>
  </si>
  <si>
    <t>Инвестиционная программа № 540-ОД от 20.11.2024 ЛЕНСКИЙ ФИЛИАЛ АО "ТЕПЛОЭНЕРГОСЕРВИС" в сфере холодного водоснабжения в отношении систем коммунальной инфраструктуры на 2024-2028 годы</t>
  </si>
  <si>
    <t>20.11.2024</t>
  </si>
  <si>
    <t>31.12.2028</t>
  </si>
  <si>
    <t>Инвестиционная программа № 540-ОД от 20.11.2024 Усть-Майский филиал АО "Теплоэнергосервис" в сфере холодного водоснабжения в отношении систем коммунальной инфраструктуры на 2024-2028 годы</t>
  </si>
  <si>
    <t>Инвестиционная программа № 540-ОД от 20.11.2024 Усть-Янский филиал АО "Теплоэнергосервис" в сфере холодного водоснабжения в отношении систем коммунальной инфраструктуры на 2024-2028 годы</t>
  </si>
  <si>
    <t>Инвестиционная программа № 541-ОД от 19.11.2021 ООО "Тепломедсервис ПЛЮС" в сфере холодного водоснабжения по развитию, повышению надежности и энергетической эффективности системы водоснабжения, на территории муниципального района Усть-Алданский на 2022-2030 годы</t>
  </si>
  <si>
    <t>01.01.2022</t>
  </si>
  <si>
    <t>19.11.2030</t>
  </si>
  <si>
    <t>Инвестиционная программа № 541-ОД от 19.11.2021 ООО "Тепломедсервис ПЛЮС" в сфере холодного водоснабжения по развитию, повышению надежности и энергетической эффективности системы водоснабжения, на территории с Борогонцы, Мюрюнский наслег, Усть-Алданский муниципальный район на 2021-2030 годы</t>
  </si>
  <si>
    <t>19.11.2021</t>
  </si>
  <si>
    <t>Инвестиционная программа № 557-од от 28.11.2023 МУП "Жатайтеплосеть" в сфере водоснабжения и водоотведения по комплексному развитию инфраструктуры на 2024-2028 годы</t>
  </si>
  <si>
    <t>01.01.2024</t>
  </si>
  <si>
    <t>Инвестиционная программа № 561-од от 02.11.2022 МУП "ПТСК" ГО "город Якутск" в сфере холодного водоснабжения по комплексному развитию объектов на 2023-2027 годы</t>
  </si>
  <si>
    <t>01.01.2023</t>
  </si>
  <si>
    <t>31.12.2027</t>
  </si>
  <si>
    <t>Инвестиционная программа № 581-од от 04.12.2023 ООО "АВАКОН" в сфере водоснабжения и водоотведения по комплексному развитию объектов на 2023-2032 годы</t>
  </si>
  <si>
    <t>04.12.2023</t>
  </si>
  <si>
    <t>31.12.2032</t>
  </si>
  <si>
    <t>Инвестиционная программа № 666-ОД от 29.12.2023 Алданский филиал АО "Теплоэнергосервис" в сфере водоснабжения и водоотведения по строительству, реконструкции и модернизации объектов, на территории муниципального района Алданский на 2023-2028 годы</t>
  </si>
  <si>
    <t>29.12.2023</t>
  </si>
  <si>
    <t>Инвестиционная программа № 666-ОД от 29.12.2023 Алданский филиал АО "Теплоэнергосервис" в сфере холодного водоснабжения по строительству, реконструкции и модернизации объектов, на территории муниципального района Алданский на 2023-2028 годы</t>
  </si>
  <si>
    <t>Инвестиционная программа № 666-ОД от 29.12.2023 Вилюйский филиал АО "Теплоэнергосервис" в сфере холодного водоснабжения по строительству, реконструкции и модернизации объектов, на территории муниципального района Вилюйский на 2023-2028 годы</t>
  </si>
  <si>
    <t>Инвестиционная программа № 666-ОД от 29.12.2023 Оймяконский филиал АО "Теплоэнергосервис" в сфере водоснабжения по строительству, реконструкции и модернизации объектов, на территории муниципального района Оймяконский на 2023-2028 годы</t>
  </si>
  <si>
    <t>Инвестиционная программа № 666-ОД от 29.12.2023 Усть-Янский филиал АО "Теплоэнергосервис" в сфере водоснабжения по строительству, реконструкции и модернизации объектов, на территории муниципального района Усть-Янский на 2023-2028 годы</t>
  </si>
  <si>
    <t>Инвестиционная программа № 687-ОД от 30.12.2020 АО "Нерюнгринский городской водоканал" в сфере водоснабжения и водоотведения по строительству, реконструкции и модернизации систем водоснабжения и водоотведения, на территории муниципального района Нерюнгринский на 2021-2028 годы</t>
  </si>
  <si>
    <t>01.01.2021</t>
  </si>
  <si>
    <t>Инвестиционная программа № 687-од от 30.12.2020 АО "Намкоммунтеплоэнерго" в сфере водоснабжения и водоотведения по комплексному развитию объектов на 2021-2028 годы</t>
  </si>
  <si>
    <t>Инвестиционная программа от 01.01.2020 ГУП "ЖКХ РС(Я)" филиал "Коммункомплектация" в сфере водоснабжения и водоотведения по приведению качества питьевой воды в соответствие с установленными требованиями и развитию муниципальных систем водоснабжения и водоотведения на 2022-2023 годы</t>
  </si>
  <si>
    <t>31.12.2023</t>
  </si>
  <si>
    <t>Инвестиционная программа от 06.02.2024 АО "Водоканал" в сфере водоснабжения и водоотведения в отношении систем водоснабжения и водоотведения на 2024-2028 годы</t>
  </si>
  <si>
    <t>06.02.2024</t>
  </si>
  <si>
    <t>Инвестиционная программа от 06.02.2024 в сфере водоснабжения и водоотведения по комплексному развитию единого комплекса объектов, на территории городского округа Якутск на 2024-2028 годы</t>
  </si>
  <si>
    <t>Инвестиционная программа от 11.12.2018 ООО УК "Алпекс+" в сфере водоснабжения и водоотведения по развитию и реконструкции систем водоснабжения и водоотведения, на территории с Верхневилюйск, Верхневилюйский наслег, Верхневилюйский муниципальный район на 2022-2023 годы</t>
  </si>
  <si>
    <t>Инвестиционная программа от 14.11.2024 ГУП "ЖКХ РС(Я)" филиал "Коммункомплектация" в сфере водоснабжения и водоотведения по приведению качества питьевой воды в соответствие с установленными требованиями и развитию муниципальных систем водоснабжения и водоотведения на 2024-2028 годы</t>
  </si>
  <si>
    <t>14.11.2024</t>
  </si>
  <si>
    <t>Инвестиционная программа от 19.11.2021 ООО "ПТВС" в сфере холодного водоснабжения по модернизации инфраструктуры на 2022-2023 годы</t>
  </si>
  <si>
    <t>Инвестиционная программа от 23.01.2023 ООО "ПТВС" в сфере водоснабжения по модернизации инфраструктуры на 2023 год</t>
  </si>
  <si>
    <t>23.01.2023</t>
  </si>
  <si>
    <t>Инвестиционная программа от 23.05.2023 ООО "ПТВС" в сфере теплоснабжения, водоснабжения и водоотведения по комплексному развитию объектов на 2024-2028 годы</t>
  </si>
  <si>
    <t>01.01.2028</t>
  </si>
  <si>
    <t>Инвестиционная программа от 23.06.2023 ООО "ПТВС" в сфере теплоснабжения, водоснабжения и водоотведения по комплексному развитию объектов на 2024-2028 годы</t>
  </si>
  <si>
    <t>Инвестиционная программа от 29.12.2023 ЛЕНСКИЙ ФИЛИАЛ АО "ТЕПЛОЭНЕРГОСЕРВИС" в сфере холодного водоснабжения по модернизации, реконструкции и техническому перевооружению систем водоснабжения и водоотведения, на территории муниципального района Ленский на 2023-2028 годы</t>
  </si>
  <si>
    <t>Инвестиционная программа от 29.12.2023 ЛЕНСКИЙ ФИЛИАЛ АО "ТЕПЛОЭНЕРГОСЕРВИС" в сфере холодного водоснабжения по строительству, реконструкции и модернизации объектов, на территории муниципального района Ленский на 2023-2028 годы</t>
  </si>
  <si>
    <t>Инвестиционная программа от 29.12.2023 Усть-Майский филиал АО "Теплоэнергосервис" в сфере холодного водоснабжения по строительству, реконструкции и модернизации объектов, на территории муниципального района Усть-Майский на 2023-2028 годы</t>
  </si>
  <si>
    <t>Инвестиционная программа от 30.12.2020 АО "Нерюнгринский городской водоканал" в сфере водоснабжения и водоотведения по строительству, реконструкции и модернизации систем водоснабжения и водоотведения, на территории муниципального района Нерюнгринский на 2021-2028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</si>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</sst>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04" formatCode="_-* #,##0.00\ _₽_-;\-* #,##0.00\ _₽_-;_-* &quot;-&quot;??\ _₽_-;_-@_-"/>
    <numFmt numFmtId="205" formatCode="_-* #,##0\ _₽_-;\-* #,##0\ _₽_-;_-* &quot;-&quot;\ _₽_-;_-@_-"/>
    <numFmt numFmtId="206" formatCode="_-* #,##0.00\ &quot;₽&quot;_-;\-* #,##0.00\ &quot;₽&quot;_-;_-* &quot;-&quot;??\ &quot;₽&quot;_-;_-@_-"/>
    <numFmt numFmtId="207" formatCode="_-* #,##0\ &quot;₽&quot;_-;\-* #,##0\ &quot;₽&quot;_-;_-* &quot;-&quot;\ &quot;₽&quot;_-;_-@_-"/>
    <numFmt numFmtId="208" formatCode="_-* #,##0.00[$€-1]_-;\-* #,##0.00[$€-1]_-;_-* &quot;-&quot;??[$€-1]_-"/>
    <numFmt numFmtId="209" formatCode="#,##0.0"/>
    <numFmt numFmtId="210" formatCode="#,##0.000"/>
    <numFmt numFmtId="211" formatCode="#,##0.0000"/>
    <numFmt numFmtId="212" formatCode="dd\.mm\.yyyy"/>
    <numFmt numFmtId="213" formatCode="000000"/>
    <numFmt numFmtId="214"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04" fontId="6" fillId="0" borderId="0" applyFont="0" applyFill="0" applyBorder="0" applyNumberFormat="1">
      <alignment vertical="top"/>
    </xf>
    <xf numFmtId="205" fontId="6" fillId="0" borderId="0" applyFont="0" applyFill="0" applyBorder="0" applyNumberFormat="1">
      <alignment vertical="top"/>
    </xf>
    <xf numFmtId="206" fontId="6" fillId="0" borderId="0" applyFont="0" applyFill="0" applyBorder="0" applyNumberFormat="1">
      <alignment vertical="top"/>
    </xf>
    <xf numFmtId="20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08" fontId="20" fillId="0" borderId="0" applyFont="1" applyFill="0" applyBorder="0" applyNumberFormat="1"/>
    <xf numFmtId="38" fontId="21" fillId="0" borderId="0" applyFont="1" applyFill="0" applyBorder="0" applyNumberFormat="1">
      <alignment vertical="top"/>
    </xf>
    <xf numFmtId="209" fontId="22" fillId="33" borderId="0" applyFont="1" applyFill="1" applyBorder="0" applyNumberFormat="1">
      <protection locked="0"/>
    </xf>
    <xf numFmtId="0" fontId="23" fillId="0" borderId="0" applyFont="1" applyFill="0" applyBorder="0">
      <alignment vertical="center"/>
    </xf>
    <xf numFmtId="210" fontId="22" fillId="33" borderId="0" applyFont="1" applyFill="1" applyBorder="0" applyNumberFormat="1">
      <protection locked="0"/>
    </xf>
    <xf numFmtId="21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7659">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4" fontId="6" fillId="0" borderId="0" xfId="28" applyFont="0" applyNumberFormat="1">
      <alignment vertical="top"/>
    </xf>
    <xf numFmtId="205" fontId="6" fillId="0" borderId="0" xfId="29" applyFont="0" applyNumberFormat="1">
      <alignment vertical="top"/>
    </xf>
    <xf numFmtId="206" fontId="6" fillId="0" borderId="0" xfId="30" applyFont="0" applyNumberFormat="1">
      <alignment vertical="top"/>
    </xf>
    <xf numFmtId="207"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08" fontId="20" fillId="0" borderId="0" xfId="49" applyFont="1" applyNumberFormat="1"/>
    <xf numFmtId="38" fontId="21" fillId="0" borderId="0" xfId="50" applyFont="1" applyNumberFormat="1">
      <alignment vertical="top"/>
    </xf>
    <xf numFmtId="209" fontId="22" fillId="33" borderId="0" xfId="51" applyFont="1" applyFill="1" applyNumberFormat="1">
      <protection locked="0"/>
    </xf>
    <xf numFmtId="0" fontId="23" fillId="0" borderId="0" xfId="52" applyFont="1">
      <alignment vertical="center"/>
    </xf>
    <xf numFmtId="210" fontId="22" fillId="33" borderId="0" xfId="53" applyFont="1" applyFill="1" applyNumberFormat="1">
      <protection locked="0"/>
    </xf>
    <xf numFmtId="21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13"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1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11"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11"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11"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13"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11"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11" fontId="22" fillId="39" borderId="13" xfId="0" applyFont="1" applyFill="1" applyBorder="1" applyNumberFormat="1">
      <alignment horizontal="right" vertical="center" wrapText="1"/>
      <protection locked="0"/>
    </xf>
    <xf numFmtId="21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10"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10"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10"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10" fontId="47" fillId="0" borderId="12" xfId="0" applyFont="1" applyBorder="1" applyNumberFormat="1">
      <alignment horizontal="right" vertical="center" wrapText="1"/>
    </xf>
    <xf numFmtId="210"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10"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1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13"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13"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12" fontId="0" fillId="39" borderId="12" xfId="0" applyFont="1" applyFill="1" applyBorder="1" applyNumberFormat="1">
      <alignment horizontal="left" vertical="center" wrapText="1" indent="1"/>
      <protection locked="0"/>
    </xf>
    <xf numFmtId="212" fontId="0" fillId="0" borderId="12" xfId="0" applyFont="1" applyBorder="1" applyNumberFormat="1">
      <alignment horizontal="left" vertical="center" wrapText="1" indent="1"/>
    </xf>
    <xf numFmtId="212" fontId="0" fillId="39" borderId="12" xfId="0" applyFont="1" applyFill="1" applyBorder="1" applyNumberFormat="1">
      <alignment horizontal="center" vertical="center" wrapText="1"/>
      <protection locked="0"/>
    </xf>
    <xf numFmtId="212" fontId="47" fillId="0" borderId="0" xfId="0" applyFont="1" applyNumberFormat="1">
      <alignment horizontal="center" vertical="center" wrapText="1"/>
    </xf>
    <xf numFmtId="212" fontId="47" fillId="0" borderId="12" xfId="0" applyFont="1" applyBorder="1" applyNumberFormat="1">
      <alignment horizontal="center" vertical="center" wrapText="1"/>
    </xf>
    <xf numFmtId="212" fontId="0" fillId="39" borderId="12" xfId="0" applyFont="1" applyFill="1" applyBorder="1" applyNumberFormat="1">
      <alignment horizontal="left" vertical="center" wrapText="1"/>
      <protection locked="0"/>
    </xf>
    <xf numFmtId="212" fontId="0" fillId="36" borderId="12" xfId="0" applyFont="1" applyFill="1" applyBorder="1" applyNumberFormat="1">
      <alignment horizontal="left" vertical="center" wrapText="1" indent="1"/>
      <protection locked="0"/>
    </xf>
    <xf numFmtId="212"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12" fontId="0" fillId="39" borderId="14" xfId="0" applyFont="1" applyFill="1" applyBorder="1" applyNumberFormat="1">
      <alignment horizontal="left" vertical="center" wrapText="1"/>
      <protection locked="0"/>
    </xf>
    <xf numFmtId="21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13"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13"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13" fontId="44" fillId="0" borderId="19" xfId="0" applyFont="1" applyBorder="1" applyNumberFormat="1">
      <alignment horizontal="center" vertical="center" wrapText="1"/>
    </xf>
    <xf numFmtId="213" fontId="44" fillId="0" borderId="20" xfId="0" applyFont="1" applyBorder="1" applyNumberFormat="1">
      <alignment horizontal="center" vertical="center" wrapText="1"/>
    </xf>
    <xf numFmtId="214" fontId="22" fillId="39" borderId="12" xfId="0" applyFont="1" applyFill="1" applyBorder="1" applyNumberFormat="1">
      <alignment horizontal="left" vertical="center" wrapText="1" indent="1"/>
      <protection locked="0"/>
    </xf>
    <xf numFmtId="21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12"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12"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10"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12" fontId="22" fillId="34" borderId="12" xfId="0" applyFont="1" applyFill="1" applyBorder="1" applyNumberFormat="1">
      <alignment horizontal="left" vertical="center" wrapText="1" inden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12"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1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1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13" fontId="22" fillId="0" borderId="17" xfId="0" applyFont="1" applyBorder="1" applyNumberFormat="1">
      <alignment horizontal="center" vertical="center" wrapText="1"/>
    </xf>
    <xf numFmtId="213" fontId="22" fillId="0" borderId="23" xfId="0" applyFont="1" applyBorder="1" applyNumberFormat="1">
      <alignment horizontal="center" vertical="center" wrapText="1"/>
    </xf>
    <xf numFmtId="213" fontId="22" fillId="0" borderId="14" xfId="0" applyFont="1" applyBorder="1" applyNumberFormat="1">
      <alignment horizontal="center" vertical="center" wrapText="1"/>
    </xf>
    <xf numFmtId="213" fontId="22" fillId="0" borderId="15" xfId="0" applyFont="1" applyBorder="1" applyNumberFormat="1">
      <alignment horizontal="center" vertical="center" wrapText="1"/>
    </xf>
    <xf numFmtId="21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13" fontId="22" fillId="0" borderId="36" xfId="0" applyFont="1" applyBorder="1" applyNumberFormat="1">
      <alignment horizontal="center" vertical="center" wrapText="1"/>
    </xf>
    <xf numFmtId="213" fontId="22" fillId="0" borderId="12" xfId="0" applyFont="1" applyBorder="1" applyNumberFormat="1">
      <alignment horizontal="center" vertical="center" wrapText="1"/>
    </xf>
    <xf numFmtId="213"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1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1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12"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27" fillId="39" borderId="12" xfId="0" applyFont="1" applyFill="1" applyBorder="1" applyNumberFormat="1">
      <alignment horizontal="left" vertical="center" wrapText="1" indent="1"/>
      <protection locked="0"/>
    </xf>
    <xf numFmtId="0" fontId="22" fillId="40" borderId="12" xfId="0" applyFont="1" applyFill="1" applyBorder="1">
      <alignment horizontal="left" vertical="top" wrapText="1"/>
    </xf>
    <xf numFmtId="49" fontId="0" fillId="35" borderId="12" xfId="0" applyFont="1" applyFill="1" applyBorder="1" applyNumberFormat="1">
      <alignment horizontal="left" vertical="center" wrapText="1"/>
    </xf>
    <xf numFmtId="49" fontId="0" fillId="40" borderId="12" xfId="0" applyFont="1" applyFill="1" applyBorder="1" applyNumberFormat="1">
      <alignment horizontal="left" vertical="top"/>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39" fillId="37" borderId="29" xfId="0" applyFont="1" applyFill="1" applyBorder="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39" fillId="37" borderId="13" xfId="0" applyFont="1" applyFill="1" applyBorder="1">
      <alignment horizontal="left" vertical="center"/>
    </xf>
    <xf numFmtId="0" fontId="0" fillId="35" borderId="12" xfId="0" applyFont="1" applyFill="1" applyBorder="1">
      <alignment horizontal="left" vertical="center" wrapText="1"/>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39"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39" fillId="37" borderId="13" xfId="0" applyFont="1" applyFill="1" applyBorder="1">
      <alignment horizontal="left" vertical="center"/>
    </xf>
    <xf numFmtId="4" fontId="22" fillId="35" borderId="12" xfId="0" applyFont="1" applyFill="1" applyBorder="1" applyNumberFormat="1">
      <alignment horizontal="left" vertical="center" wrapText="1" indent="1"/>
    </xf>
    <xf numFmtId="49" fontId="22" fillId="35" borderId="12" xfId="0" applyFont="1" applyFill="1" applyBorder="1" applyNumberFormat="1">
      <alignment horizontal="left" vertical="center" wrapText="1" indent="1"/>
    </xf>
    <xf numFmtId="4" fontId="22" fillId="35" borderId="12" xfId="0" applyFont="1" applyFill="1" applyBorder="1" applyNumberFormat="1">
      <alignment horizontal="center" vertical="center" wrapText="1"/>
    </xf>
    <xf numFmtId="49" fontId="22" fillId="35" borderId="12" xfId="0" applyFont="1" applyFill="1" applyBorder="1" applyNumberFormat="1">
      <alignment horizontal="left" vertical="center" wrapText="1" indent="1"/>
    </xf>
    <xf numFmtId="4" fontId="22" fillId="35" borderId="12" xfId="0" applyFont="1" applyFill="1" applyBorder="1" applyNumberFormat="1">
      <alignment horizontal="left" vertical="center" wrapText="1" indent="1"/>
    </xf>
    <xf numFmtId="4" fontId="22" fillId="35" borderId="12"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9" fontId="73" fillId="37" borderId="14" xfId="0" applyFont="1" applyFill="1" applyBorder="1" applyNumberFormat="1">
      <alignment horizontal="left" vertical="center"/>
    </xf>
    <xf numFmtId="49" fontId="39"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9" fontId="73" fillId="37" borderId="14" xfId="0" applyFont="1" applyFill="1" applyBorder="1" applyNumberFormat="1">
      <alignment horizontal="left" vertical="center"/>
    </xf>
    <xf numFmtId="49" fontId="39"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indent="2"/>
    </xf>
    <xf numFmtId="49" fontId="39" fillId="37" borderId="27" xfId="0" applyFont="1" applyFill="1" applyBorder="1" applyNumberFormat="1">
      <alignment horizontal="left" vertical="center"/>
    </xf>
    <xf numFmtId="49" fontId="43" fillId="37" borderId="13" xfId="0" applyFont="1" applyFill="1" applyBorder="1" applyNumberFormat="1">
      <alignment horizontal="center" vertical="top"/>
    </xf>
    <xf numFmtId="0" fontId="29" fillId="0" borderId="0" xfId="0" applyFont="1"/>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5" borderId="12" xfId="0" applyFont="1" applyFill="1" applyBorder="1" applyNumberFormat="1">
      <alignment horizontal="left" vertical="center" wrapText="1" indent="1"/>
    </xf>
    <xf numFmtId="4" fontId="22" fillId="35" borderId="12"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210" fontId="22" fillId="37" borderId="13"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0" fontId="29" fillId="0" borderId="0" xfId="0" applyFont="1"/>
    <xf numFmtId="4" fontId="22" fillId="35" borderId="12" xfId="0" applyFont="1" applyFill="1" applyBorder="1" applyNumberFormat="1">
      <alignment horizontal="center" vertical="center" wrapText="1"/>
    </xf>
    <xf numFmtId="4" fontId="22" fillId="35" borderId="12" xfId="0" applyFont="1" applyFill="1" applyBorder="1" applyNumberFormat="1">
      <alignment horizontal="left" vertical="center" wrapText="1" indent="1"/>
    </xf>
    <xf numFmtId="4" fontId="22" fillId="37" borderId="15" xfId="0" applyFont="1" applyFill="1" applyBorder="1" applyNumberFormat="1">
      <alignment horizontal="right" vertical="center" wrapText="1"/>
    </xf>
    <xf numFmtId="210" fontId="22" fillId="37" borderId="15" xfId="0" applyFont="1" applyFill="1" applyBorder="1" applyNumberFormat="1">
      <alignment horizontal="right" vertical="center" wrapTex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15" xfId="0" applyFont="1" applyFill="1" applyBorder="1" applyNumberFormat="1">
      <alignment horizontal="left" vertical="center"/>
    </xf>
    <xf numFmtId="210" fontId="22" fillId="37" borderId="13" xfId="0" applyFont="1" applyFill="1" applyBorder="1" applyNumberFormat="1">
      <alignment horizontal="right" vertical="center" wrapText="1"/>
    </xf>
    <xf numFmtId="49" fontId="39" fillId="37" borderId="27"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4" xfId="0" applyFont="1" applyFill="1" applyBorder="1" applyNumberFormat="1">
      <alignment horizontal="left" vertical="center" indent="1"/>
    </xf>
    <xf numFmtId="49" fontId="39" fillId="37" borderId="15" xfId="0" applyFont="1" applyFill="1" applyBorder="1" applyNumberFormat="1">
      <alignment horizontal="left" vertical="center" indent="1"/>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4" xfId="0" applyFont="1" applyFill="1" applyBorder="1" applyNumberFormat="1">
      <alignment vertical="center" wrapText="1"/>
    </xf>
    <xf numFmtId="49" fontId="39" fillId="37" borderId="15" xfId="0" applyFont="1" applyFill="1" applyBorder="1" applyNumberFormat="1">
      <alignment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 fontId="22" fillId="36" borderId="12" xfId="0" applyFont="1" applyFill="1" applyBorder="1" applyNumberFormat="1" quotePrefix="1">
      <alignment horizontal="right" vertical="center" wrapText="1"/>
      <protection locked="0"/>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49" fontId="39" fillId="37" borderId="15" xfId="0" applyFont="1" applyFill="1" applyBorder="1" applyNumberFormat="1">
      <alignment horizontal="left" vertical="center"/>
    </xf>
    <xf numFmtId="49" fontId="39" fillId="37" borderId="27" xfId="0" applyFont="1" applyFill="1" applyBorder="1" applyNumberFormat="1">
      <alignment horizontal="left" vertical="center"/>
    </xf>
    <xf numFmtId="49" fontId="39" fillId="37" borderId="15" xfId="0" applyFont="1" applyFill="1" applyBorder="1" applyNumberFormat="1">
      <alignmen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9" fontId="39" fillId="37" borderId="15" xfId="0" applyFont="1" applyFill="1" applyBorder="1" applyNumberFormat="1">
      <alignment horizontal="left" vertical="center"/>
    </xf>
    <xf numFmtId="4" fontId="47" fillId="37" borderId="15" xfId="0" applyFont="1" applyFill="1" applyBorder="1" applyNumberFormat="1">
      <alignment horizontal="center" vertical="center" wrapText="1"/>
    </xf>
    <xf numFmtId="4" fontId="47" fillId="37" borderId="15" xfId="0" applyFont="1" applyFill="1" applyBorder="1" applyNumberFormat="1">
      <alignment horizontal="center" vertical="center" wrapText="1"/>
    </xf>
    <xf numFmtId="4" fontId="47" fillId="37" borderId="13" xfId="0" applyFont="1" applyFill="1" applyBorder="1" applyNumberFormat="1">
      <alignment horizontal="center" vertical="center" wrapText="1"/>
    </xf>
    <xf numFmtId="0" fontId="29" fillId="0" borderId="0" xfId="0" applyFont="1"/>
    <xf numFmtId="4" fontId="22" fillId="39" borderId="12" xfId="0" applyFont="1" applyFill="1" applyBorder="1" applyNumberFormat="1">
      <alignment horizontal="left" vertical="center" wrapText="1" indent="1"/>
      <protection locked="0"/>
    </xf>
    <xf numFmtId="49" fontId="22" fillId="35"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protection locked="0"/>
    </xf>
    <xf numFmtId="0" fontId="29" fillId="0" borderId="0" xfId="0" applyFont="1"/>
    <xf numFmtId="0" fontId="29" fillId="0" borderId="0" xfId="0" applyFont="1"/>
    <xf numFmtId="4" fontId="22" fillId="35" borderId="12" xfId="0" applyFont="1" applyFill="1" applyBorder="1" applyNumberFormat="1">
      <alignment horizontal="left" vertical="center" wrapText="1" indent="1"/>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maratkanova-iv@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s://portal.eias.ru/Portal/DownloadPage.aspx?type=12&amp;guid=8432c17b-02ee-4c0a-82d6-39c831e653cb" TargetMode="External"/><Relationship Id="rId3" Type="http://schemas.openxmlformats.org/officeDocument/2006/relationships/hyperlink" Target="https://portal.eias.ru/Portal/DownloadPage.aspx?type=12&amp;guid=c78c1777-1293-4200-8021-e948cf2df460" TargetMode="External"/><Relationship Id="rId4" Type="http://schemas.openxmlformats.org/officeDocument/2006/relationships/hyperlink" Target="https://portal.eias.ru/Portal/DownloadPage.aspx?type=12&amp;guid=c78c1777-1293-4200-8021-e948cf2df460"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513F1D-EF42-D6C8-E0F7-E065DB1709D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7655" width="5.421875" customWidth="1"/>
    <col min="2" max="2" style="7655" width="9.140625" customWidth="1"/>
    <col min="3" max="3" style="7655" width="16.421875" customWidth="1"/>
    <col min="4" max="25" style="7655" width="6.28125" customWidth="1"/>
    <col min="26" max="28" style="7655" width="11.00390625"/>
  </cols>
  <sheetData>
    <row customHeight="1" ht="15.75">
      <c r="A1" s="1706"/>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8"/>
      <c r="Z1" s="1707"/>
      <c r="AA1" s="1709" t="s">
        <v>0</v>
      </c>
      <c r="AB1" s="1707"/>
    </row>
    <row customHeight="1" ht="17.25">
      <c r="A2" s="1707"/>
      <c r="B2" s="2083" t="s">
        <v>1</v>
      </c>
      <c r="C2" s="2083"/>
      <c r="D2" s="2083"/>
      <c r="E2" s="2083"/>
      <c r="F2" s="2083"/>
      <c r="G2" s="2083"/>
      <c r="H2" s="2083"/>
      <c r="I2" s="2083"/>
      <c r="J2" s="2083"/>
      <c r="K2" s="2083"/>
      <c r="L2" s="2083"/>
      <c r="M2" s="2083"/>
      <c r="N2" s="2083"/>
      <c r="O2" s="2083"/>
      <c r="P2" s="2083"/>
      <c r="Q2" s="1711"/>
      <c r="R2" s="1711"/>
      <c r="S2" s="1711"/>
      <c r="T2" s="1711"/>
      <c r="U2" s="1711"/>
      <c r="V2" s="1712"/>
      <c r="W2" s="1711"/>
      <c r="X2" s="1711"/>
      <c r="Y2" s="1708"/>
      <c r="Z2" s="1707"/>
      <c r="AA2" s="1709"/>
      <c r="AB2" s="1707"/>
    </row>
    <row customHeight="1" ht="15.75">
      <c r="A3" s="1707"/>
      <c r="B3" s="2084" t="s">
        <v>2</v>
      </c>
      <c r="C3" s="2084"/>
      <c r="D3" s="2084"/>
      <c r="E3" s="2084"/>
      <c r="F3" s="2084"/>
      <c r="G3" s="2084"/>
      <c r="H3" s="2084"/>
      <c r="I3" s="2084"/>
      <c r="J3" s="2084"/>
      <c r="K3" s="2084"/>
      <c r="L3" s="2084"/>
      <c r="M3" s="2084"/>
      <c r="N3" s="2084"/>
      <c r="O3" s="2084"/>
      <c r="P3" s="2084"/>
      <c r="Q3" s="1712"/>
      <c r="R3" s="1712"/>
      <c r="S3" s="1711"/>
      <c r="T3" s="1711"/>
      <c r="U3" s="1711"/>
      <c r="V3" s="1712"/>
      <c r="W3" s="1712"/>
      <c r="X3" s="1712"/>
      <c r="Y3" s="1712"/>
      <c r="Z3" s="1707"/>
      <c r="AA3" s="1709"/>
      <c r="AB3" s="1707"/>
    </row>
    <row customHeight="1" ht="17.25">
      <c r="A4" s="1707"/>
      <c r="B4" s="1713"/>
      <c r="C4" s="1707"/>
      <c r="D4" s="1712"/>
      <c r="E4" s="1712"/>
      <c r="F4" s="1712"/>
      <c r="G4" s="1712"/>
      <c r="H4" s="1712"/>
      <c r="I4" s="1712"/>
      <c r="J4" s="1712"/>
      <c r="K4" s="1712"/>
      <c r="L4" s="1712"/>
      <c r="M4" s="1712"/>
      <c r="N4" s="1712"/>
      <c r="O4" s="1712"/>
      <c r="P4" s="1712"/>
      <c r="Q4" s="1712"/>
      <c r="R4" s="1712"/>
      <c r="S4" s="1712"/>
      <c r="T4" s="1712"/>
      <c r="U4" s="1712"/>
      <c r="V4" s="1712"/>
      <c r="W4" s="1712"/>
      <c r="X4" s="1712"/>
      <c r="Y4" s="1712"/>
      <c r="Z4" s="1707"/>
      <c r="AA4" s="1709"/>
      <c r="AB4" s="1707"/>
    </row>
    <row customHeight="1" ht="22.5">
      <c r="A5" s="1714"/>
      <c r="B5" s="2085"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086"/>
      <c r="D5" s="2086"/>
      <c r="E5" s="2086"/>
      <c r="F5" s="2086"/>
      <c r="G5" s="2086"/>
      <c r="H5" s="2086"/>
      <c r="I5" s="2086"/>
      <c r="J5" s="2086"/>
      <c r="K5" s="2086"/>
      <c r="L5" s="2086"/>
      <c r="M5" s="2086"/>
      <c r="N5" s="2086"/>
      <c r="O5" s="2086"/>
      <c r="P5" s="2086"/>
      <c r="Q5" s="2086"/>
      <c r="R5" s="2086"/>
      <c r="S5" s="2086"/>
      <c r="T5" s="2086"/>
      <c r="U5" s="2086"/>
      <c r="V5" s="2086"/>
      <c r="W5" s="2086"/>
      <c r="X5" s="2086"/>
      <c r="Y5" s="2087"/>
      <c r="Z5" s="1714"/>
      <c r="AA5" s="1709"/>
      <c r="AB5" s="1714"/>
    </row>
    <row customHeight="1" ht="15">
      <c r="A6" s="1715"/>
      <c r="B6" s="2088" t="s">
        <v>3</v>
      </c>
      <c r="C6" s="2089"/>
      <c r="D6" s="1716"/>
      <c r="E6" s="1716"/>
      <c r="F6" s="1716"/>
      <c r="G6" s="1716"/>
      <c r="H6" s="1716"/>
      <c r="I6" s="1716"/>
      <c r="J6" s="1716"/>
      <c r="K6" s="1716"/>
      <c r="L6" s="1716"/>
      <c r="M6" s="1716"/>
      <c r="N6" s="1716"/>
      <c r="O6" s="1716"/>
      <c r="P6" s="1716"/>
      <c r="Q6" s="1716"/>
      <c r="R6" s="1716"/>
      <c r="S6" s="1716"/>
      <c r="T6" s="1716"/>
      <c r="U6" s="1716"/>
      <c r="V6" s="1716"/>
      <c r="W6" s="1716"/>
      <c r="X6" s="1716"/>
      <c r="Y6" s="1717"/>
      <c r="Z6" s="1718"/>
      <c r="AA6" s="1719"/>
      <c r="AB6" s="1719"/>
    </row>
    <row customHeight="1" ht="15">
      <c r="A7" s="1715"/>
      <c r="B7" s="2088"/>
      <c r="C7" s="2089"/>
      <c r="D7" s="1716"/>
      <c r="E7" s="1716"/>
      <c r="F7" s="1720"/>
      <c r="G7" s="1720"/>
      <c r="H7" s="1720"/>
      <c r="I7" s="1720"/>
      <c r="J7" s="1720"/>
      <c r="K7" s="1720"/>
      <c r="L7" s="1720"/>
      <c r="M7" s="1720"/>
      <c r="N7" s="1720"/>
      <c r="O7" s="1716"/>
      <c r="P7" s="1720"/>
      <c r="Q7" s="1720"/>
      <c r="R7" s="1720"/>
      <c r="S7" s="1720"/>
      <c r="T7" s="1720"/>
      <c r="U7" s="1720"/>
      <c r="V7" s="1720"/>
      <c r="W7" s="1720"/>
      <c r="X7" s="1720"/>
      <c r="Y7" s="1717"/>
      <c r="Z7" s="1718"/>
      <c r="AA7" s="1719"/>
      <c r="AB7" s="1719"/>
    </row>
    <row customHeight="1" ht="15">
      <c r="A8" s="1715"/>
      <c r="B8" s="2088"/>
      <c r="C8" s="2089"/>
      <c r="D8" s="1721"/>
      <c r="E8" s="1722" t="s">
        <v>4</v>
      </c>
      <c r="F8" s="2091" t="s">
        <v>5</v>
      </c>
      <c r="G8" s="2092"/>
      <c r="H8" s="2092"/>
      <c r="I8" s="2092"/>
      <c r="J8" s="2092"/>
      <c r="K8" s="2092"/>
      <c r="L8" s="2092"/>
      <c r="M8" s="2092"/>
      <c r="N8" s="1721"/>
      <c r="O8" s="1723" t="s">
        <v>4</v>
      </c>
      <c r="P8" s="2093" t="s">
        <v>6</v>
      </c>
      <c r="Q8" s="2094"/>
      <c r="R8" s="2094"/>
      <c r="S8" s="2094"/>
      <c r="T8" s="2094"/>
      <c r="U8" s="2094"/>
      <c r="V8" s="2094"/>
      <c r="W8" s="2094"/>
      <c r="X8" s="2094"/>
      <c r="Y8" s="1717"/>
      <c r="Z8" s="1718"/>
      <c r="AA8" s="1719"/>
      <c r="AB8" s="1719"/>
    </row>
    <row customHeight="1" ht="15">
      <c r="A9" s="1715"/>
      <c r="B9" s="2088"/>
      <c r="C9" s="2089"/>
      <c r="D9" s="1721"/>
      <c r="E9" s="1724" t="s">
        <v>4</v>
      </c>
      <c r="F9" s="2091" t="s">
        <v>7</v>
      </c>
      <c r="G9" s="2092"/>
      <c r="H9" s="2092"/>
      <c r="I9" s="2092"/>
      <c r="J9" s="2092"/>
      <c r="K9" s="2092"/>
      <c r="L9" s="2092"/>
      <c r="M9" s="2092"/>
      <c r="N9" s="1721"/>
      <c r="O9" s="1725" t="s">
        <v>4</v>
      </c>
      <c r="P9" s="2093" t="s">
        <v>8</v>
      </c>
      <c r="Q9" s="2094"/>
      <c r="R9" s="2094"/>
      <c r="S9" s="2094"/>
      <c r="T9" s="2094"/>
      <c r="U9" s="2094"/>
      <c r="V9" s="2094"/>
      <c r="W9" s="2094"/>
      <c r="X9" s="2094"/>
      <c r="Y9" s="1717"/>
      <c r="Z9" s="1718"/>
      <c r="AA9" s="1719"/>
      <c r="AB9" s="1719"/>
    </row>
    <row customHeight="1" ht="30">
      <c r="A10" s="1715"/>
      <c r="B10" s="2088"/>
      <c r="C10" s="2090"/>
      <c r="D10" s="1726"/>
      <c r="E10" s="1727"/>
      <c r="F10" s="1720"/>
      <c r="G10" s="1720"/>
      <c r="H10" s="1720"/>
      <c r="I10" s="1720"/>
      <c r="J10" s="1720"/>
      <c r="K10" s="1720"/>
      <c r="L10" s="1720"/>
      <c r="M10" s="1720"/>
      <c r="N10" s="1720"/>
      <c r="O10" s="1727"/>
      <c r="P10" s="1720"/>
      <c r="Q10" s="1720"/>
      <c r="R10" s="1720"/>
      <c r="S10" s="1720"/>
      <c r="T10" s="1720"/>
      <c r="U10" s="1720"/>
      <c r="V10" s="1720"/>
      <c r="W10" s="1720"/>
      <c r="X10" s="1720"/>
      <c r="Y10" s="1717"/>
      <c r="Z10" s="1718"/>
      <c r="AA10" s="1719"/>
      <c r="AB10" s="1719"/>
    </row>
    <row customHeight="1" ht="19.5">
      <c r="A11" s="1715"/>
      <c r="B11" s="2095" t="s">
        <v>9</v>
      </c>
      <c r="C11" s="2096"/>
      <c r="D11" s="1721"/>
      <c r="E11" s="1728"/>
      <c r="F11" s="1728"/>
      <c r="G11" s="1728"/>
      <c r="H11" s="1728"/>
      <c r="I11" s="1728"/>
      <c r="J11" s="1728"/>
      <c r="K11" s="1728"/>
      <c r="L11" s="1728"/>
      <c r="M11" s="1728"/>
      <c r="N11" s="1728"/>
      <c r="O11" s="1728"/>
      <c r="P11" s="1728"/>
      <c r="Q11" s="1728"/>
      <c r="R11" s="1728"/>
      <c r="S11" s="1728"/>
      <c r="T11" s="1728"/>
      <c r="U11" s="1728"/>
      <c r="V11" s="1728"/>
      <c r="W11" s="1728"/>
      <c r="X11" s="1728"/>
      <c r="Y11" s="1717"/>
      <c r="Z11" s="1718"/>
      <c r="AA11" s="1719"/>
      <c r="AB11" s="1719"/>
    </row>
    <row customHeight="1" ht="69">
      <c r="A12" s="1715"/>
      <c r="B12" s="2088"/>
      <c r="C12" s="2090"/>
      <c r="D12" s="1729"/>
      <c r="E12" s="2092" t="s">
        <v>10</v>
      </c>
      <c r="F12" s="2092"/>
      <c r="G12" s="2092"/>
      <c r="H12" s="2092"/>
      <c r="I12" s="2092"/>
      <c r="J12" s="2092"/>
      <c r="K12" s="2092"/>
      <c r="L12" s="2092"/>
      <c r="M12" s="2092"/>
      <c r="N12" s="2092"/>
      <c r="O12" s="2092"/>
      <c r="P12" s="2092"/>
      <c r="Q12" s="2092"/>
      <c r="R12" s="2092"/>
      <c r="S12" s="2092"/>
      <c r="T12" s="2092"/>
      <c r="U12" s="2092"/>
      <c r="V12" s="2092"/>
      <c r="W12" s="2092"/>
      <c r="X12" s="2092"/>
      <c r="Y12" s="1717"/>
      <c r="Z12" s="1718"/>
      <c r="AA12" s="1719"/>
      <c r="AB12" s="1719"/>
    </row>
    <row customHeight="1" ht="15">
      <c r="A13" s="1715"/>
      <c r="B13" s="2095" t="s">
        <v>11</v>
      </c>
      <c r="C13" s="2096"/>
      <c r="D13" s="1716"/>
      <c r="E13" s="1728"/>
      <c r="F13" s="1728"/>
      <c r="G13" s="1728"/>
      <c r="H13" s="1728"/>
      <c r="I13" s="1728"/>
      <c r="J13" s="1728"/>
      <c r="K13" s="1728"/>
      <c r="L13" s="1728"/>
      <c r="M13" s="1728"/>
      <c r="N13" s="1728"/>
      <c r="O13" s="1728"/>
      <c r="P13" s="1728"/>
      <c r="Q13" s="1728"/>
      <c r="R13" s="1728"/>
      <c r="S13" s="1728"/>
      <c r="T13" s="1728"/>
      <c r="U13" s="1728"/>
      <c r="V13" s="1728"/>
      <c r="W13" s="1728"/>
      <c r="X13" s="1728"/>
      <c r="Y13" s="1717"/>
      <c r="Z13" s="1718"/>
      <c r="AA13" s="1719"/>
      <c r="AB13" s="1719"/>
    </row>
    <row customHeight="1" ht="57">
      <c r="A14" s="1715"/>
      <c r="B14" s="2088"/>
      <c r="C14" s="2089"/>
      <c r="D14" s="1721"/>
      <c r="E14" s="2099" t="s">
        <v>12</v>
      </c>
      <c r="F14" s="2099"/>
      <c r="G14" s="2099"/>
      <c r="H14" s="2099"/>
      <c r="I14" s="2099"/>
      <c r="J14" s="2099"/>
      <c r="K14" s="2099"/>
      <c r="L14" s="2099"/>
      <c r="M14" s="2099"/>
      <c r="N14" s="2099"/>
      <c r="O14" s="2099"/>
      <c r="P14" s="2099"/>
      <c r="Q14" s="2099"/>
      <c r="R14" s="2099"/>
      <c r="S14" s="2099"/>
      <c r="T14" s="2099"/>
      <c r="U14" s="2099"/>
      <c r="V14" s="2099"/>
      <c r="W14" s="2099"/>
      <c r="X14" s="2099"/>
      <c r="Y14" s="1717"/>
      <c r="Z14" s="1718"/>
      <c r="AA14" s="1719"/>
      <c r="AB14" s="1719"/>
    </row>
    <row customHeight="1" ht="16.5">
      <c r="A15" s="1715"/>
      <c r="B15" s="2097"/>
      <c r="C15" s="2098"/>
      <c r="D15" s="1730"/>
      <c r="E15" s="1731"/>
      <c r="F15" s="1731"/>
      <c r="G15" s="1731"/>
      <c r="H15" s="1731"/>
      <c r="I15" s="1731"/>
      <c r="J15" s="1731"/>
      <c r="K15" s="1731"/>
      <c r="L15" s="1731"/>
      <c r="M15" s="1731"/>
      <c r="N15" s="1731"/>
      <c r="O15" s="1731"/>
      <c r="P15" s="1731"/>
      <c r="Q15" s="1731"/>
      <c r="R15" s="1731"/>
      <c r="S15" s="1731"/>
      <c r="T15" s="1731"/>
      <c r="U15" s="1731"/>
      <c r="V15" s="1731"/>
      <c r="W15" s="1731"/>
      <c r="X15" s="1731"/>
      <c r="Y15" s="1732"/>
      <c r="Z15" s="1718"/>
      <c r="AA15" s="1733"/>
      <c r="AB15" s="1719"/>
    </row>
    <row customHeight="1" ht="95.25">
      <c r="A16" s="1707"/>
      <c r="B16" s="2099"/>
      <c r="C16" s="2100"/>
      <c r="D16" s="2100"/>
      <c r="E16" s="2100"/>
      <c r="F16" s="2100"/>
      <c r="G16" s="2100"/>
      <c r="H16" s="2100"/>
      <c r="I16" s="2100"/>
      <c r="J16" s="2100"/>
      <c r="K16" s="2100"/>
      <c r="L16" s="2100"/>
      <c r="M16" s="2100"/>
      <c r="N16" s="2100"/>
      <c r="O16" s="2100"/>
      <c r="P16" s="2100"/>
      <c r="Q16" s="2100"/>
      <c r="R16" s="2100"/>
      <c r="S16" s="2100"/>
      <c r="T16" s="2100"/>
      <c r="U16" s="2100"/>
      <c r="V16" s="2100"/>
      <c r="W16" s="2100"/>
      <c r="X16" s="2100"/>
      <c r="Y16" s="2100"/>
      <c r="Z16" s="1707"/>
      <c r="AA16" s="1709"/>
      <c r="AB16" s="1707"/>
    </row>
    <row customHeight="1" ht="14.25">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8"/>
      <c r="Z17" s="1707"/>
      <c r="AA17" s="1709"/>
      <c r="AB17" s="1707"/>
    </row>
    <row customHeight="1" ht="14.25">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c r="W18" s="1707"/>
      <c r="X18" s="1707"/>
      <c r="Y18" s="1708"/>
      <c r="Z18" s="1707"/>
      <c r="AA18" s="1709"/>
      <c r="AB18" s="1707"/>
    </row>
    <row customHeight="1" ht="14.25">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8"/>
      <c r="Z19" s="1707"/>
      <c r="AA19" s="1709"/>
      <c r="AB19" s="1707"/>
    </row>
    <row customHeight="1" ht="14.25">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8"/>
      <c r="Z20" s="1707"/>
      <c r="AA20" s="1709"/>
      <c r="AB20" s="1707"/>
    </row>
    <row customHeight="1" ht="14.25">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8"/>
      <c r="Z21" s="1707"/>
      <c r="AA21" s="1709"/>
      <c r="AB21" s="1707"/>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4E6FD8-FBA3-A775-0E5D-.8CD6DDCCC69}"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8" width="9.140625" hidden="1" customWidth="1"/>
    <col min="2" max="3" style="1641" width="9.140625" hidden="1" customWidth="1"/>
    <col min="4" max="4" style="1848" width="3.00390625" customWidth="1"/>
    <col min="5" max="5" style="1641" width="6.00390625" customWidth="1"/>
    <col min="6" max="6" style="1641" width="1.7109375" hidden="1" customWidth="1"/>
    <col min="7" max="8" style="1641" width="30.00390625" customWidth="1"/>
    <col min="9" max="9" style="1641" width="8.00390625" customWidth="1"/>
    <col min="10" max="10" style="1641" width="12.140625" customWidth="1"/>
    <col min="11" max="11" style="1641" width="46.00390625" customWidth="1"/>
    <col min="12" max="12" style="1641" width="100.00390625" customWidth="1"/>
    <col min="13" max="13" style="1825" width="7.00390625" customWidth="1"/>
    <col min="14" max="22" style="1641" width="10.00390625" customWidth="1"/>
    <col min="23" max="23" style="1641" width="10.57421875" hidden="1"/>
  </cols>
  <sheetData>
    <row s="1648" customFormat="1" customHeight="1" ht="5.25" hidden="1">
      <c r="C1" s="517"/>
      <c r="D1" s="500"/>
      <c r="F1" s="517"/>
      <c r="G1" s="495" t="s">
        <v>84</v>
      </c>
      <c r="H1" s="495" t="s">
        <v>85</v>
      </c>
      <c r="I1" s="495" t="s">
        <v>86</v>
      </c>
      <c r="P1" s="495" t="s">
        <v>84</v>
      </c>
      <c r="Q1" s="495" t="s">
        <v>85</v>
      </c>
      <c r="R1" s="495" t="s">
        <v>86</v>
      </c>
      <c r="W1" s="495" t="s">
        <v>14</v>
      </c>
    </row>
    <row s="1648" customFormat="1" customHeight="1" ht="5.25" hidden="1">
      <c r="C2" s="517"/>
      <c r="D2" s="500"/>
      <c r="F2" s="517"/>
      <c r="W2" s="495">
        <v>0</v>
      </c>
    </row>
    <row s="1618" customFormat="1" customHeight="1" ht="5.25">
      <c r="A3" s="485"/>
      <c r="D3" s="492"/>
      <c r="E3" s="487"/>
      <c r="F3" s="487"/>
      <c r="G3" s="487"/>
      <c r="H3" s="487"/>
      <c r="I3" s="488"/>
      <c r="J3" s="489"/>
      <c r="K3" s="489"/>
      <c r="L3" s="489"/>
      <c r="W3" s="486">
        <v>5</v>
      </c>
    </row>
    <row customHeight="1" ht="23.25">
      <c r="D4" s="456"/>
      <c r="E4" s="2244" t="s">
        <v>404</v>
      </c>
      <c r="F4" s="2244"/>
      <c r="G4" s="2245"/>
      <c r="H4" s="2245"/>
      <c r="I4" s="2246"/>
      <c r="J4" s="497"/>
      <c r="K4" s="459"/>
      <c r="L4" s="459"/>
      <c r="W4" s="453">
        <v>22</v>
      </c>
    </row>
    <row s="1641" customFormat="1" customHeight="1" ht="18">
      <c r="A5" s="765"/>
      <c r="D5" s="828"/>
      <c r="E5" s="2220" t="str">
        <f>IF(org=0,"Не определено",org)</f>
        <v>АО «ДГК» СП «Нерюнгринская ГРЭС»</v>
      </c>
      <c r="F5" s="2220"/>
      <c r="G5" s="2221"/>
      <c r="H5" s="2221"/>
      <c r="I5" s="2222"/>
      <c r="J5" s="497"/>
      <c r="K5" s="459"/>
      <c r="L5" s="459"/>
      <c r="M5" s="513"/>
      <c r="W5" s="764">
        <v>17</v>
      </c>
    </row>
    <row s="1618" customFormat="1" customHeight="1" ht="11.549999999999999">
      <c r="A6" s="485"/>
      <c r="D6" s="492"/>
      <c r="E6" s="487"/>
      <c r="F6" s="487"/>
      <c r="G6" s="490"/>
      <c r="H6" s="490"/>
      <c r="I6" s="491"/>
      <c r="J6" s="491"/>
      <c r="K6" s="758"/>
      <c r="L6" s="491"/>
      <c r="W6" s="486">
        <v>11</v>
      </c>
    </row>
    <row customHeight="1" ht="14.699999999999998">
      <c r="D7" s="456"/>
      <c r="E7" s="2214" t="s">
        <v>316</v>
      </c>
      <c r="F7" s="2214"/>
      <c r="G7" s="2215"/>
      <c r="H7" s="2215"/>
      <c r="I7" s="2215"/>
      <c r="J7" s="2215"/>
      <c r="K7" s="2215"/>
      <c r="L7" s="2229" t="s">
        <v>317</v>
      </c>
      <c r="W7" s="453">
        <v>14</v>
      </c>
    </row>
    <row customHeight="1" ht="48.29999999999999">
      <c r="D8" s="456"/>
      <c r="E8" s="479" t="s">
        <v>89</v>
      </c>
      <c r="F8" s="829"/>
      <c r="G8" s="471" t="s">
        <v>87</v>
      </c>
      <c r="H8" s="471" t="s">
        <v>88</v>
      </c>
      <c r="I8" s="420" t="s">
        <v>86</v>
      </c>
      <c r="J8" s="420" t="s">
        <v>405</v>
      </c>
      <c r="K8" s="420" t="s">
        <v>406</v>
      </c>
      <c r="L8" s="2229"/>
      <c r="W8" s="453">
        <v>46</v>
      </c>
    </row>
    <row customHeight="1" ht="12" hidden="1">
      <c r="D9" s="493"/>
      <c r="E9" s="499"/>
      <c r="F9" s="836"/>
      <c r="G9" s="499"/>
      <c r="H9" s="499"/>
      <c r="I9" s="499"/>
      <c r="J9" s="499"/>
      <c r="K9" s="499"/>
      <c r="L9" s="499"/>
      <c r="M9" s="453"/>
      <c r="W9" s="453">
        <v>0</v>
      </c>
    </row>
    <row customHeight="1" ht="14.25" hidden="1">
      <c r="A10" s="511"/>
      <c r="B10" s="511"/>
      <c r="D10" s="512"/>
      <c r="E10" s="518">
        <v>0</v>
      </c>
      <c r="F10" s="827"/>
      <c r="G10" s="514"/>
      <c r="H10" s="514"/>
      <c r="I10" s="514"/>
      <c r="J10" s="514"/>
      <c r="K10" s="514"/>
      <c r="L10" s="2227" t="s">
        <v>407</v>
      </c>
      <c r="M10" s="513"/>
      <c r="N10" s="511"/>
      <c r="O10" s="511"/>
      <c r="P10" s="511"/>
      <c r="Q10" s="511"/>
      <c r="R10" s="511"/>
      <c r="S10" s="511"/>
      <c r="T10" s="511"/>
      <c r="U10" s="511"/>
      <c r="V10" s="511"/>
      <c r="W10" s="453">
        <v>0</v>
      </c>
    </row>
    <row customHeight="1" ht="15" hidden="1">
      <c r="A11" s="2105"/>
      <c r="B11" s="510"/>
      <c r="C11" s="510"/>
      <c r="D11" s="871"/>
      <c r="E11" s="519"/>
      <c r="F11" s="519"/>
      <c r="G11" s="519"/>
      <c r="H11" s="519"/>
      <c r="I11" s="520"/>
      <c r="J11" s="521"/>
      <c r="K11" s="719"/>
      <c r="L11" s="2247"/>
      <c r="M11" s="517"/>
      <c r="N11" s="517"/>
      <c r="O11" s="517"/>
      <c r="P11" s="522"/>
      <c r="Q11" s="522"/>
      <c r="R11" s="523"/>
      <c r="S11" s="517"/>
      <c r="T11" s="517"/>
      <c r="U11" s="517"/>
      <c r="V11" s="517"/>
      <c r="W11" s="453">
        <v>0</v>
      </c>
    </row>
    <row s="1618" customFormat="1" customHeight="1" ht="15">
      <c r="A12" s="2105"/>
      <c r="B12" s="510"/>
      <c r="C12" s="510"/>
      <c r="D12" s="872"/>
      <c r="E12" s="829">
        <v>1</v>
      </c>
      <c r="F12" s="870">
        <v>23</v>
      </c>
      <c r="G12" s="869"/>
      <c r="H12" s="799"/>
      <c r="I12" s="797"/>
      <c r="J12" s="526" t="s">
        <v>62</v>
      </c>
      <c r="K12" s="1170" t="s">
        <v>28</v>
      </c>
      <c r="L12" s="2247"/>
      <c r="M12" s="517"/>
      <c r="N12" s="517"/>
      <c r="O12" s="517"/>
      <c r="P12" s="522" t="s">
        <v>408</v>
      </c>
      <c r="Q12" s="522" t="s">
        <v>409</v>
      </c>
      <c r="R12" s="523" t="s">
        <v>410</v>
      </c>
      <c r="S12" s="517" t="s">
        <v>411</v>
      </c>
      <c r="T12" s="517"/>
      <c r="U12" s="517"/>
      <c r="V12" s="517"/>
      <c r="W12" s="486">
        <v>14</v>
      </c>
    </row>
    <row customHeight="1" ht="15.75">
      <c r="A13" s="2105"/>
      <c r="B13" s="511"/>
      <c r="D13" s="512"/>
      <c r="E13" s="411"/>
      <c r="F13" s="535"/>
      <c r="G13" s="422" t="s">
        <v>104</v>
      </c>
      <c r="H13" s="410"/>
      <c r="I13" s="410"/>
      <c r="J13" s="410"/>
      <c r="K13" s="409"/>
      <c r="L13" s="2228"/>
      <c r="M13" s="515"/>
      <c r="N13" s="511"/>
      <c r="O13" s="511"/>
      <c r="P13" s="511"/>
      <c r="Q13" s="511"/>
      <c r="R13" s="511"/>
      <c r="S13" s="511"/>
      <c r="T13" s="511"/>
      <c r="U13" s="511"/>
      <c r="V13" s="511"/>
      <c r="W13" s="453">
        <v>15</v>
      </c>
    </row>
    <row customHeight="1" ht="11.549999999999999">
      <c r="A14" s="485"/>
      <c r="B14" s="486"/>
      <c r="C14" s="486"/>
      <c r="D14" s="501"/>
      <c r="E14" s="486"/>
      <c r="F14" s="486"/>
      <c r="G14" s="486"/>
      <c r="H14" s="486"/>
      <c r="I14" s="486"/>
      <c r="J14" s="486"/>
      <c r="K14" s="486"/>
      <c r="L14" s="486"/>
      <c r="M14" s="486"/>
      <c r="N14" s="486"/>
      <c r="O14" s="486"/>
      <c r="P14" s="486"/>
      <c r="Q14" s="486"/>
      <c r="R14" s="486"/>
      <c r="S14" s="486"/>
      <c r="T14" s="486"/>
      <c r="U14" s="486"/>
      <c r="V14" s="486"/>
      <c r="W14" s="453">
        <v>11</v>
      </c>
    </row>
    <row customHeight="1" ht="14.699999999999998">
      <c r="D15" s="472"/>
      <c r="E15" s="342"/>
      <c r="F15" s="342"/>
      <c r="G15" s="6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2"/>
      <c r="I15" s="472"/>
      <c r="J15" s="472"/>
      <c r="K15" s="472"/>
      <c r="L15" s="472"/>
      <c r="W15" s="453">
        <v>14</v>
      </c>
    </row>
    <row customHeight="1" ht="14.699999999999998">
      <c r="W16" s="453">
        <v>14</v>
      </c>
    </row>
    <row customHeight="1" ht="14.699999999999998">
      <c r="W17" s="453">
        <v>14</v>
      </c>
    </row>
    <row customHeight="1" ht="14.699999999999998">
      <c r="G18" s="511"/>
      <c r="W18" s="453">
        <v>14</v>
      </c>
    </row>
    <row customHeight="1" ht="22.5" hidden="1">
      <c r="A19" s="455" t="s">
        <v>83</v>
      </c>
      <c r="B19" s="453">
        <v>0</v>
      </c>
      <c r="C19" s="764">
        <v>0</v>
      </c>
      <c r="D19" s="457">
        <v>3</v>
      </c>
      <c r="E19" s="453">
        <v>6</v>
      </c>
      <c r="F19" s="764">
        <v>0</v>
      </c>
      <c r="G19" s="453">
        <v>30</v>
      </c>
      <c r="H19" s="453">
        <v>30</v>
      </c>
      <c r="I19" s="453">
        <v>8</v>
      </c>
      <c r="J19" s="453">
        <v>12</v>
      </c>
      <c r="K19" s="453">
        <v>46</v>
      </c>
      <c r="L19" s="453">
        <v>100</v>
      </c>
      <c r="M19" s="458">
        <v>7</v>
      </c>
      <c r="N19" s="453">
        <v>10</v>
      </c>
      <c r="O19" s="453">
        <v>10</v>
      </c>
      <c r="P19" s="453">
        <v>10</v>
      </c>
      <c r="Q19" s="453">
        <v>10</v>
      </c>
      <c r="R19" s="453">
        <v>10</v>
      </c>
      <c r="S19" s="453">
        <v>10</v>
      </c>
      <c r="T19" s="453">
        <v>10</v>
      </c>
      <c r="U19" s="453">
        <v>10</v>
      </c>
      <c r="V19" s="453">
        <v>10</v>
      </c>
      <c r="W19" s="453">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D0865C-1147-90B8-5173-F9A798BAB7F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15">
        <f>INDEX(PT_DIFFERENTIATION_NUM_NTAR,MATCH(A2,PT_DIFFERENTIATION_NTAR_ID,0))</f>
      </c>
      <c r="T2" s="304" t="s">
        <v>125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412</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10"/>
      <c r="Q3" s="358"/>
      <c r="R3" s="359"/>
      <c r="S3" s="1315">
        <f>INDEX(PT_DIFFERENTIATION_NUM_TER,MATCH(B3,PT_DIFFERENTIATION_TER_ID,0))</f>
      </c>
      <c r="T3" s="314" t="s">
        <v>413</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414</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15">
        <f>INDEX(PT_DIFFERENTIATION_NUM_CS,MATCH(C4,PT_DIFFERENTIATION_CS_ID,0))</f>
      </c>
      <c r="T4" s="315" t="s">
        <v>415</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416</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15">
        <f>INDEX(PT_DIFFERENTIATION_NUM_IST_TE,MATCH(D5,PT_DIFFERENTIATION_IST_TE_ID,0))</f>
      </c>
      <c r="T5" s="316" t="s">
        <v>417</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418</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419</v>
      </c>
      <c r="M6" s="543"/>
      <c r="P6" s="2263">
        <v>1</v>
      </c>
      <c r="Q6" s="1311"/>
      <c r="R6" s="362"/>
      <c r="S6" s="1315">
        <f>$I6</f>
      </c>
      <c r="T6" s="291" t="s">
        <v>420</v>
      </c>
      <c r="U6" s="306"/>
      <c r="V6" s="2251"/>
      <c r="W6" s="2252"/>
      <c r="X6" s="2252"/>
      <c r="Y6" s="2252"/>
      <c r="Z6" s="2252"/>
      <c r="AA6" s="2252"/>
      <c r="AB6" s="2252"/>
      <c r="AC6" s="2253"/>
      <c r="AD6" s="2251"/>
      <c r="AE6" s="2252"/>
      <c r="AF6" s="2252"/>
      <c r="AG6" s="2252"/>
      <c r="AH6" s="2252"/>
      <c r="AI6" s="2252"/>
      <c r="AJ6" s="2252"/>
      <c r="AK6" s="2252"/>
      <c r="AL6" s="2253"/>
      <c r="AM6" s="1264" t="s">
        <v>421</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422</v>
      </c>
      <c r="M7" s="543"/>
      <c r="N7" s="1372"/>
      <c r="P7" s="2263"/>
      <c r="Q7" s="2263">
        <v>1</v>
      </c>
      <c r="R7" s="363"/>
      <c r="S7" s="1315">
        <f>$J7</f>
      </c>
      <c r="T7" s="292" t="s">
        <v>423</v>
      </c>
      <c r="U7" s="306"/>
      <c r="V7" s="2251"/>
      <c r="W7" s="2252"/>
      <c r="X7" s="2252"/>
      <c r="Y7" s="2252"/>
      <c r="Z7" s="2252"/>
      <c r="AA7" s="2252"/>
      <c r="AB7" s="2252"/>
      <c r="AC7" s="2253"/>
      <c r="AD7" s="2251"/>
      <c r="AE7" s="2252"/>
      <c r="AF7" s="2252"/>
      <c r="AG7" s="2252"/>
      <c r="AH7" s="2252"/>
      <c r="AI7" s="2252"/>
      <c r="AJ7" s="2252"/>
      <c r="AK7" s="2252"/>
      <c r="AL7" s="2253"/>
      <c r="AM7" s="1264" t="s">
        <v>424</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425</v>
      </c>
      <c r="M8" s="543"/>
      <c r="N8" s="1372"/>
      <c r="O8" s="1372"/>
      <c r="P8" s="2263"/>
      <c r="Q8" s="2263"/>
      <c r="R8" s="363">
        <v>1</v>
      </c>
      <c r="S8" s="1315">
        <f>$K8</f>
      </c>
      <c r="T8" s="1353"/>
      <c r="U8" s="306"/>
      <c r="V8" s="757"/>
      <c r="W8" s="331"/>
      <c r="X8" s="757"/>
      <c r="Y8" s="1263"/>
      <c r="Z8" s="2271"/>
      <c r="AA8" s="2113" t="s">
        <v>62</v>
      </c>
      <c r="AB8" s="2271"/>
      <c r="AC8" s="2113" t="s">
        <v>62</v>
      </c>
      <c r="AD8" s="757"/>
      <c r="AE8" s="331"/>
      <c r="AF8" s="757"/>
      <c r="AG8" s="1263"/>
      <c r="AH8" s="2271"/>
      <c r="AI8" s="2113" t="s">
        <v>62</v>
      </c>
      <c r="AJ8" s="2271"/>
      <c r="AK8" s="2113" t="s">
        <v>62</v>
      </c>
      <c r="AL8" s="331"/>
      <c r="AM8" s="2259" t="s">
        <v>426</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12"/>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427</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11"/>
      <c r="R11" s="362"/>
      <c r="S11" s="1284"/>
      <c r="T11" s="293" t="s">
        <v>428</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429</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430</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251</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252</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P17" s="1317"/>
      <c r="AD17" s="1366"/>
      <c r="AE17" s="1366"/>
      <c r="AF17" s="1366"/>
      <c r="AG17" s="1367"/>
      <c r="AH17" s="2273"/>
      <c r="AI17" s="2274" t="s">
        <v>62</v>
      </c>
      <c r="AJ17" s="2273"/>
      <c r="AK17" s="2274" t="s">
        <v>62</v>
      </c>
      <c r="AS17" s="1161">
        <v>0</v>
      </c>
    </row>
    <row customHeight="1" ht="14.25" hidden="1">
      <c r="P18" s="1317"/>
      <c r="AD18" s="1366"/>
      <c r="AE18" s="1366"/>
      <c r="AF18" s="1366"/>
      <c r="AG18" s="334" t="str">
        <f>AH17&amp;"-"&amp;AJ17</f>
        <v>-</v>
      </c>
      <c r="AH18" s="2274"/>
      <c r="AI18" s="2274"/>
      <c r="AJ18" s="2274"/>
      <c r="AK18" s="2274"/>
      <c r="AS18" s="1161">
        <v>0</v>
      </c>
    </row>
    <row customHeight="1" ht="14.25" hidden="1">
      <c r="P19" s="1317"/>
      <c r="AK19" s="333"/>
      <c r="AS19" s="1161">
        <v>0</v>
      </c>
    </row>
    <row s="1372" customFormat="1" customHeight="1" ht="22.5" hidden="1">
      <c r="L20" s="1335"/>
      <c r="M20" s="1368"/>
      <c r="N20" s="1368"/>
      <c r="O20" s="1373" t="s">
        <v>431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432</v>
      </c>
      <c r="P22" s="1368"/>
      <c r="Q22" s="1377"/>
      <c r="R22" s="1377"/>
      <c r="S22" s="735"/>
      <c r="T22" s="1166" t="s">
        <v>433</v>
      </c>
      <c r="AA22" s="192" t="s">
        <v>434</v>
      </c>
      <c r="AC22" s="192" t="s">
        <v>435</v>
      </c>
      <c r="AD22" s="1166" t="s">
        <v>433</v>
      </c>
      <c r="AI22" s="192" t="s">
        <v>436</v>
      </c>
      <c r="AK22" s="192" t="s">
        <v>435</v>
      </c>
      <c r="AN22" s="517"/>
      <c r="AO22" s="517"/>
      <c r="AP22" s="517"/>
      <c r="AQ22" s="517"/>
      <c r="AR22" s="517"/>
      <c r="AS22" s="1166">
        <v>0</v>
      </c>
    </row>
    <row customHeight="1" ht="14.25" hidden="1">
      <c r="O23" s="1370"/>
      <c r="P23" s="1317"/>
      <c r="AS23" s="1161">
        <v>0</v>
      </c>
    </row>
    <row customHeight="1" ht="14.25" hidden="1">
      <c r="O24" s="1370"/>
      <c r="P24" s="1317"/>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АО «ДГК» СП «Нерюнгринская ГРЭС»</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Государственный комитет по ценовой политике Республики Саха (Якутия)</v>
      </c>
      <c r="W29" s="2257"/>
      <c r="X29" s="2257"/>
      <c r="Y29" s="2257"/>
      <c r="Z29" s="2257"/>
      <c r="AA29" s="2257"/>
      <c r="AB29" s="2257"/>
      <c r="AC29" s="332"/>
      <c r="AD29" s="2257" t="str">
        <f>IF(TITLE_NAME_OR_PR_CHANGE="",IF(TITLE_NAME_OR_PR="","",TITLE_NAME_OR_PR),TITLE_NAME_OR_PR_CHANGE)</f>
        <v>Государственный комитет по ценовой политике Республики Саха (Якутия)</v>
      </c>
      <c r="AE29" s="2257"/>
      <c r="AF29" s="2257"/>
      <c r="AG29" s="2257"/>
      <c r="AH29" s="2257"/>
      <c r="AI29" s="2257"/>
      <c r="AJ29" s="2257"/>
      <c r="AK29" s="332"/>
      <c r="AL29" s="332"/>
      <c r="AM29" s="286"/>
      <c r="AN29" s="374"/>
      <c r="AO29" s="374"/>
      <c r="AP29" s="374"/>
      <c r="AQ29" s="374"/>
      <c r="AR29" s="374"/>
      <c r="AS29" s="424">
        <v>0</v>
      </c>
    </row>
    <row s="1859" customFormat="1" customHeight="1" ht="18.75">
      <c r="A30" s="1374"/>
      <c r="B30" s="1374"/>
      <c r="C30" s="1374"/>
      <c r="D30" s="1374"/>
      <c r="E30" s="1374"/>
      <c r="F30" s="1374"/>
      <c r="G30" s="1374"/>
      <c r="H30" s="1374"/>
      <c r="I30" s="1374"/>
      <c r="J30" s="1374"/>
      <c r="K30" s="1374"/>
      <c r="L30" s="1375"/>
      <c r="M30" s="1374"/>
      <c r="N30" s="1374"/>
      <c r="O30" s="1374"/>
      <c r="S30" s="2256" t="s">
        <v>437</v>
      </c>
      <c r="T30" s="2256"/>
      <c r="U30" s="1378"/>
      <c r="V30" s="2270" t="str">
        <f>IF(TITLE_DATE_PR_CHANGE="",IF(TITLE_DATE_PR="","",TITLE_DATE_PR),TITLE_DATE_PR_CHANGE)</f>
        <v>46003.502546296295</v>
      </c>
      <c r="W30" s="2270"/>
      <c r="X30" s="2270"/>
      <c r="Y30" s="2270"/>
      <c r="Z30" s="2270"/>
      <c r="AA30" s="2270"/>
      <c r="AB30" s="2270"/>
      <c r="AC30" s="332"/>
      <c r="AD30" s="2270" t="str">
        <f>IF(TITLE_DATE_PR_CHANGE="",IF(TITLE_DATE_PR="","",TITLE_DATE_PR),TITLE_DATE_PR_CHANGE)</f>
        <v>46003.502546296295</v>
      </c>
      <c r="AE30" s="2270"/>
      <c r="AF30" s="2270"/>
      <c r="AG30" s="2270"/>
      <c r="AH30" s="2270"/>
      <c r="AI30" s="2270"/>
      <c r="AJ30" s="2270"/>
      <c r="AK30" s="332"/>
      <c r="AL30" s="332"/>
      <c r="AM30" s="286"/>
      <c r="AN30" s="374"/>
      <c r="AO30" s="374"/>
      <c r="AP30" s="374"/>
      <c r="AQ30" s="374"/>
      <c r="AR30" s="374"/>
      <c r="AS30" s="424">
        <v>0</v>
      </c>
    </row>
    <row s="1859" customFormat="1" customHeight="1" ht="18.75">
      <c r="A31" s="1374"/>
      <c r="B31" s="1374"/>
      <c r="C31" s="1374"/>
      <c r="D31" s="1374"/>
      <c r="E31" s="1374"/>
      <c r="F31" s="1374"/>
      <c r="G31" s="1374"/>
      <c r="H31" s="1374"/>
      <c r="I31" s="1374"/>
      <c r="J31" s="1374"/>
      <c r="K31" s="1374"/>
      <c r="L31" s="1375"/>
      <c r="M31" s="1374"/>
      <c r="N31" s="1374"/>
      <c r="O31" s="1374"/>
      <c r="S31" s="2256" t="s">
        <v>438</v>
      </c>
      <c r="T31" s="2256"/>
      <c r="U31" s="1378"/>
      <c r="V31" s="2257" t="str">
        <f>IF(TITLE_NUMBER_PR_CHANGE="",IF(TITLE_NUMBER_PR="","",TITLE_NUMBER_PR),TITLE_NUMBER_PR_CHANGE)</f>
        <v>№ 222</v>
      </c>
      <c r="W31" s="2257"/>
      <c r="X31" s="2257"/>
      <c r="Y31" s="2257"/>
      <c r="Z31" s="2257"/>
      <c r="AA31" s="2257"/>
      <c r="AB31" s="2257"/>
      <c r="AC31" s="332"/>
      <c r="AD31" s="2257" t="str">
        <f>IF(TITLE_NUMBER_PR_CHANGE="",IF(TITLE_NUMBER_PR="","",TITLE_NUMBER_PR),TITLE_NUMBER_PR_CHANGE)</f>
        <v>№ 222</v>
      </c>
      <c r="AE31" s="2257"/>
      <c r="AF31" s="2257"/>
      <c r="AG31" s="2257"/>
      <c r="AH31" s="2257"/>
      <c r="AI31" s="2257"/>
      <c r="AJ31" s="2257"/>
      <c r="AK31" s="332"/>
      <c r="AL31" s="332"/>
      <c r="AM31" s="286"/>
      <c r="AN31" s="374"/>
      <c r="AO31" s="374"/>
      <c r="AP31" s="374"/>
      <c r="AQ31" s="374"/>
      <c r="AR31" s="374"/>
      <c r="AS31" s="424">
        <v>0</v>
      </c>
    </row>
    <row s="1859" customFormat="1" customHeight="1" ht="18.75">
      <c r="A32" s="1374"/>
      <c r="B32" s="1374"/>
      <c r="C32" s="1374"/>
      <c r="D32" s="1374"/>
      <c r="E32" s="1374"/>
      <c r="F32" s="1374"/>
      <c r="G32" s="1374"/>
      <c r="H32" s="1374"/>
      <c r="I32" s="1374"/>
      <c r="J32" s="1374"/>
      <c r="K32" s="1374"/>
      <c r="L32" s="1375"/>
      <c r="M32" s="1374"/>
      <c r="N32" s="1374"/>
      <c r="O32" s="1374"/>
      <c r="S32" s="2256" t="s">
        <v>44</v>
      </c>
      <c r="T32" s="2256"/>
      <c r="U32" s="1378"/>
      <c r="V32" s="2257" t="str">
        <f>IF(TITLE_IST_PUB_CHANGE="",IF(TITLE_IST_PUB="","",TITLE_IST_PUB),TITLE_IST_PUB_CHANGE)</f>
        <v>Официальный интернет-портал правовой информации http://pravo.gov.ru/ </v>
      </c>
      <c r="W32" s="2257"/>
      <c r="X32" s="2257"/>
      <c r="Y32" s="2257"/>
      <c r="Z32" s="2257"/>
      <c r="AA32" s="2257"/>
      <c r="AB32" s="2257"/>
      <c r="AC32" s="332"/>
      <c r="AD32" s="2257" t="str">
        <f>IF(TITLE_IST_PUB_CHANGE="",IF(TITLE_IST_PUB="","",TITLE_IST_PUB),TITLE_IST_PUB_CHANGE)</f>
        <v>Официальный интернет-портал правовой информации http://pravo.gov.ru/ </v>
      </c>
      <c r="AE32" s="2257"/>
      <c r="AF32" s="2257"/>
      <c r="AG32" s="2257"/>
      <c r="AH32" s="2257"/>
      <c r="AI32" s="2257"/>
      <c r="AJ32" s="2257"/>
      <c r="AK32" s="332"/>
      <c r="AL32" s="332"/>
      <c r="AM32" s="286"/>
      <c r="AN32" s="374"/>
      <c r="AO32" s="374"/>
      <c r="AP32" s="374"/>
      <c r="AQ32" s="374"/>
      <c r="AR32" s="374"/>
      <c r="AS32" s="424">
        <v>0</v>
      </c>
    </row>
    <row customHeight="1" ht="14.25" hidden="1">
      <c r="P33" s="1334"/>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439</v>
      </c>
      <c r="T34" s="2256"/>
      <c r="U34" s="1378"/>
      <c r="V34" s="2270" t="str">
        <f>IF(TITLE_DATE_PR_CHANGE="",IF(TITLE_DATE_PR="","",TITLE_DATE_PR),TITLE_DATE_PR_CHANGE)</f>
        <v>46003.502546296295</v>
      </c>
      <c r="W34" s="2270"/>
      <c r="X34" s="2270"/>
      <c r="Y34" s="2270"/>
      <c r="Z34" s="2270"/>
      <c r="AA34" s="2270"/>
      <c r="AB34" s="2270"/>
      <c r="AC34" s="332"/>
      <c r="AD34" s="2270" t="str">
        <f>IF(TITLE_DATE_PR_CHANGE="",IF(TITLE_DATE_PR="","",TITLE_DATE_PR),TITLE_DATE_PR_CHANGE)</f>
        <v>46003.502546296295</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440</v>
      </c>
      <c r="T35" s="2256"/>
      <c r="U35" s="1378"/>
      <c r="V35" s="2257" t="str">
        <f>IF(TITLE_NUMBER_PR_CHANGE="",IF(TITLE_NUMBER_PR="","",TITLE_NUMBER_PR),TITLE_NUMBER_PR_CHANGE)</f>
        <v>№ 222</v>
      </c>
      <c r="W35" s="2257"/>
      <c r="X35" s="2257"/>
      <c r="Y35" s="2257"/>
      <c r="Z35" s="2257"/>
      <c r="AA35" s="2257"/>
      <c r="AB35" s="2257"/>
      <c r="AC35" s="332"/>
      <c r="AD35" s="2257" t="str">
        <f>IF(TITLE_NUMBER_PR_CHANGE="",IF(TITLE_NUMBER_PR="","",TITLE_NUMBER_PR),TITLE_NUMBER_PR_CHANGE)</f>
        <v>№ 222</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225"/>
      <c r="V36" s="332"/>
      <c r="W36" s="332"/>
      <c r="X36" s="332"/>
      <c r="Y36" s="332"/>
      <c r="Z36" s="332"/>
      <c r="AA36" s="332"/>
      <c r="AB36" s="332"/>
      <c r="AC36" s="284" t="s">
        <v>441</v>
      </c>
      <c r="AD36" s="332"/>
      <c r="AE36" s="332"/>
      <c r="AF36" s="332"/>
      <c r="AG36" s="332"/>
      <c r="AH36" s="332"/>
      <c r="AI36" s="332"/>
      <c r="AJ36" s="332"/>
      <c r="AK36" s="284" t="s">
        <v>441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316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317</v>
      </c>
      <c r="AS38" s="1161">
        <v>14</v>
      </c>
    </row>
    <row customHeight="1" ht="14.699999999999998">
      <c r="Q39" s="382"/>
      <c r="R39" s="382"/>
      <c r="S39" s="2279" t="s">
        <v>89</v>
      </c>
      <c r="T39" s="2215" t="s">
        <v>442</v>
      </c>
      <c r="U39" s="307"/>
      <c r="V39" s="2280" t="s">
        <v>443</v>
      </c>
      <c r="W39" s="2281"/>
      <c r="X39" s="2281"/>
      <c r="Y39" s="2281"/>
      <c r="Z39" s="2281"/>
      <c r="AA39" s="2281"/>
      <c r="AB39" s="2282"/>
      <c r="AC39" s="2283" t="s">
        <v>444</v>
      </c>
      <c r="AD39" s="2280" t="s">
        <v>443</v>
      </c>
      <c r="AE39" s="2281"/>
      <c r="AF39" s="2281"/>
      <c r="AG39" s="2281"/>
      <c r="AH39" s="2281"/>
      <c r="AI39" s="2281"/>
      <c r="AJ39" s="2282"/>
      <c r="AK39" s="2283" t="s">
        <v>445</v>
      </c>
      <c r="AL39" s="2286" t="s">
        <v>446</v>
      </c>
      <c r="AM39" s="2133"/>
      <c r="AS39" s="1161">
        <v>14</v>
      </c>
    </row>
    <row customHeight="1" ht="35.699999999999996">
      <c r="Q40" s="382"/>
      <c r="R40" s="382"/>
      <c r="S40" s="2279"/>
      <c r="T40" s="2215"/>
      <c r="U40" s="1037"/>
      <c r="V40" s="2266" t="s">
        <v>447</v>
      </c>
      <c r="W40" s="2616" t="s">
        <v>448</v>
      </c>
      <c r="X40" s="2268" t="s">
        <v>449</v>
      </c>
      <c r="Y40" s="2269"/>
      <c r="Z40" s="2268" t="s">
        <v>450</v>
      </c>
      <c r="AA40" s="2275"/>
      <c r="AB40" s="2269"/>
      <c r="AC40" s="2284"/>
      <c r="AD40" s="2266" t="s">
        <v>447</v>
      </c>
      <c r="AE40" s="2289" t="s">
        <v>448</v>
      </c>
      <c r="AF40" s="2268" t="s">
        <v>449</v>
      </c>
      <c r="AG40" s="2269"/>
      <c r="AH40" s="2268" t="s">
        <v>450</v>
      </c>
      <c r="AI40" s="2275"/>
      <c r="AJ40" s="2269"/>
      <c r="AK40" s="2284"/>
      <c r="AL40" s="2287"/>
      <c r="AM40" s="2133"/>
      <c r="AS40" s="1161">
        <v>34</v>
      </c>
    </row>
    <row customHeight="1" ht="35.699999999999996">
      <c r="A41" s="1376"/>
      <c r="B41" s="1376" t="s">
        <v>137</v>
      </c>
      <c r="C41" s="1376" t="s">
        <v>138</v>
      </c>
      <c r="D41" s="1376" t="s">
        <v>139</v>
      </c>
      <c r="E41" s="1370" t="s">
        <v>451</v>
      </c>
      <c r="F41" s="1370" t="s">
        <v>452</v>
      </c>
      <c r="G41" s="1370" t="s">
        <v>453</v>
      </c>
      <c r="H41" s="1370" t="s">
        <v>454</v>
      </c>
      <c r="I41" s="1370" t="s">
        <v>455</v>
      </c>
      <c r="J41" s="1370" t="s">
        <v>456</v>
      </c>
      <c r="K41" s="1370" t="s">
        <v>457</v>
      </c>
      <c r="L41" s="1370" t="s">
        <v>432</v>
      </c>
      <c r="Q41" s="382"/>
      <c r="R41" s="382"/>
      <c r="S41" s="2279"/>
      <c r="T41" s="2215"/>
      <c r="U41" s="308"/>
      <c r="V41" s="2267"/>
      <c r="W41" s="2290"/>
      <c r="X41" s="1228" t="s">
        <v>458</v>
      </c>
      <c r="Y41" s="1228" t="s">
        <v>459</v>
      </c>
      <c r="Z41" s="1227" t="s">
        <v>460</v>
      </c>
      <c r="AA41" s="2276" t="s">
        <v>461</v>
      </c>
      <c r="AB41" s="2277"/>
      <c r="AC41" s="2285"/>
      <c r="AD41" s="2267"/>
      <c r="AE41" s="2290"/>
      <c r="AF41" s="1228" t="s">
        <v>458</v>
      </c>
      <c r="AG41" s="1228" t="s">
        <v>459</v>
      </c>
      <c r="AH41" s="1319" t="s">
        <v>460</v>
      </c>
      <c r="AI41" s="2276" t="s">
        <v>461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111</v>
      </c>
      <c r="T42" s="1261" t="s">
        <v>112</v>
      </c>
      <c r="U42" s="1251" t="str">
        <f>OFFSET(U42,0,-1)</f>
        <v>2</v>
      </c>
      <c r="V42" s="1262">
        <f>OFFSET(V42,0,-1)+1</f>
        <v>3</v>
      </c>
      <c r="W42" s="1262"/>
      <c r="X42" s="1262">
        <f>OFFSET(X42,0,-1)+1</f>
        <v>1</v>
      </c>
      <c r="Y42" s="1262">
        <f>OFFSET(Y42,0,-1)+1</f>
        <v>2</v>
      </c>
      <c r="Z42" s="1262">
        <f>OFFSET(Z42,0,-1)+1</f>
        <v>3</v>
      </c>
      <c r="AA42" s="2278">
        <f>OFFSET(AA42,0,-1)+1</f>
        <v>4</v>
      </c>
      <c r="AB42" s="2278"/>
      <c r="AC42" s="1262">
        <f>OFFSET(AC42,0,-2)+1</f>
        <v>5</v>
      </c>
      <c r="AD42" s="1318">
        <f>OFFSET(AD42,0,-1)+1</f>
        <v>6</v>
      </c>
      <c r="AE42" s="1318"/>
      <c r="AF42" s="1318">
        <f>OFFSET(AF42,0,-1)+1</f>
        <v>1</v>
      </c>
      <c r="AG42" s="1318">
        <f>OFFSET(AG42,0,-1)+1</f>
        <v>2</v>
      </c>
      <c r="AH42" s="1318">
        <f>OFFSET(AH42,0,-1)+1</f>
        <v>3</v>
      </c>
      <c r="AI42" s="2278">
        <f>OFFSET(AI42,0,-1)+1</f>
        <v>4</v>
      </c>
      <c r="AJ42" s="2278"/>
      <c r="AK42" s="1318">
        <f>OFFSET(AK42,0,-2)+1</f>
        <v>5</v>
      </c>
      <c r="AL42" s="1251">
        <f>OFFSET(AL42,0,-1)</f>
        <v>5</v>
      </c>
      <c r="AM42" s="1262">
        <f>OFFSET(AM42,0,-1)+1</f>
        <v>6</v>
      </c>
      <c r="AN42" s="517"/>
      <c r="AO42" s="517"/>
      <c r="AP42" s="517"/>
      <c r="AQ42" s="517"/>
      <c r="AR42" s="517"/>
      <c r="AS42" s="502">
        <v>0</v>
      </c>
    </row>
    <row customHeight="1" ht="24">
      <c r="A43" s="1369" t="s">
        <v>158</v>
      </c>
      <c r="B43" s="1369"/>
      <c r="C43" s="1369"/>
      <c r="D43" s="1369"/>
      <c r="E43" s="2264">
        <v>1</v>
      </c>
      <c r="F43" s="1369"/>
      <c r="G43" s="1369"/>
      <c r="H43" s="1369"/>
      <c r="I43" s="1369"/>
      <c r="J43" s="1369"/>
      <c r="K43" s="1369"/>
      <c r="L43" s="1370"/>
      <c r="M43" s="1371"/>
      <c r="N43" s="1371"/>
      <c r="O43" s="1371"/>
      <c r="P43" s="367"/>
      <c r="Q43" s="366"/>
      <c r="R43" s="361"/>
      <c r="S43" s="1230">
        <f>INDEX(PT_DIFFERENTIATION_NUM_NTAR,MATCH(A43,PT_DIFFERENTIATION_NTAR_ID,0))</f>
        <v>0</v>
      </c>
      <c r="T43" s="304" t="s">
        <v>125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c r="AS43" s="1161">
        <v>23</v>
      </c>
    </row>
    <row customHeight="1" ht="24">
      <c r="A44" s="1369" t="s">
        <v>158</v>
      </c>
      <c r="B44" s="1369" t="s">
        <v>159</v>
      </c>
      <c r="C44" s="1369"/>
      <c r="D44" s="1369"/>
      <c r="E44" s="2265"/>
      <c r="F44" s="2264">
        <v>1</v>
      </c>
      <c r="G44" s="1369"/>
      <c r="H44" s="1369"/>
      <c r="I44" s="1369"/>
      <c r="J44" s="1369"/>
      <c r="K44" s="1369"/>
      <c r="L44" s="1370"/>
      <c r="M44" s="1371"/>
      <c r="N44" s="1371"/>
      <c r="O44" s="1371"/>
      <c r="P44" s="528"/>
      <c r="Q44" s="358"/>
      <c r="R44" s="359"/>
      <c r="S44" s="1230" t="str">
        <f>INDEX(PT_DIFFERENTIATION_NUM_TER,MATCH(B44,PT_DIFFERENTIATION_TER_ID,0))</f>
        <v>.</v>
      </c>
      <c r="T44" s="314" t="s">
        <v>413</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414</v>
      </c>
      <c r="AO44" s="506"/>
      <c r="AP44" s="506" t="str">
        <f>IF(T44="","",T44)</f>
        <v>Территория действия тарифа</v>
      </c>
      <c r="AQ44" s="506"/>
      <c r="AR44" s="506"/>
      <c r="AS44" s="1161">
        <v>23</v>
      </c>
    </row>
    <row customHeight="1" ht="24">
      <c r="A45" s="1369" t="s">
        <v>158</v>
      </c>
      <c r="B45" s="1369" t="s">
        <v>159</v>
      </c>
      <c r="C45" s="1369" t="s">
        <v>160</v>
      </c>
      <c r="D45" s="1369"/>
      <c r="E45" s="2265"/>
      <c r="F45" s="2265"/>
      <c r="G45" s="2264">
        <v>1</v>
      </c>
      <c r="H45" s="1369"/>
      <c r="I45" s="1369"/>
      <c r="J45" s="1369"/>
      <c r="K45" s="1369"/>
      <c r="L45" s="1370"/>
      <c r="M45" s="1371"/>
      <c r="N45" s="1371"/>
      <c r="O45" s="1371"/>
      <c r="P45" s="360"/>
      <c r="Q45" s="358"/>
      <c r="R45" s="359"/>
      <c r="S45" s="1230" t="str">
        <f>INDEX(PT_DIFFERENTIATION_NUM_CS,MATCH(C45,PT_DIFFERENTIATION_CS_ID,0))</f>
        <v>..</v>
      </c>
      <c r="T45" s="315" t="s">
        <v>415</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416</v>
      </c>
      <c r="AO45" s="506"/>
      <c r="AP45" s="506" t="str">
        <f>IF(T45="","",T45)</f>
        <v>Наименование системы теплоснабжения </v>
      </c>
      <c r="AQ45" s="506"/>
      <c r="AR45" s="506"/>
      <c r="AS45" s="1161">
        <v>23</v>
      </c>
    </row>
    <row customHeight="1" ht="24">
      <c r="A46" s="1369" t="s">
        <v>158</v>
      </c>
      <c r="B46" s="1369" t="s">
        <v>159</v>
      </c>
      <c r="C46" s="1369" t="s">
        <v>160</v>
      </c>
      <c r="D46" s="1369" t="s">
        <v>161</v>
      </c>
      <c r="E46" s="2265"/>
      <c r="F46" s="2265"/>
      <c r="G46" s="2265"/>
      <c r="H46" s="2264">
        <v>1</v>
      </c>
      <c r="I46" s="1369"/>
      <c r="J46" s="1369"/>
      <c r="K46" s="1369"/>
      <c r="L46" s="1370"/>
      <c r="M46" s="1371"/>
      <c r="N46" s="1371"/>
      <c r="O46" s="1371"/>
      <c r="P46" s="360"/>
      <c r="Q46" s="358"/>
      <c r="R46" s="359"/>
      <c r="S46" s="1230" t="str">
        <f>INDEX(PT_DIFFERENTIATION_NUM_IST_TE,MATCH(D46,PT_DIFFERENTIATION_IST_TE_ID,0))</f>
        <v>...</v>
      </c>
      <c r="T46" s="316" t="s">
        <v>417</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418</v>
      </c>
      <c r="AO46" s="506"/>
      <c r="AP46" s="506" t="str">
        <f>IF(T46="","",T46)</f>
        <v>Источник тепловой энергии  </v>
      </c>
      <c r="AQ46" s="506"/>
      <c r="AR46" s="506"/>
      <c r="AS46" s="1161">
        <v>23</v>
      </c>
    </row>
    <row customHeight="1" ht="49.5">
      <c r="A47" s="1369" t="s">
        <v>158</v>
      </c>
      <c r="B47" s="1369" t="s">
        <v>159</v>
      </c>
      <c r="C47" s="1369" t="s">
        <v>160</v>
      </c>
      <c r="D47" s="1369" t="s">
        <v>161</v>
      </c>
      <c r="E47" s="2265"/>
      <c r="F47" s="2265"/>
      <c r="G47" s="2265"/>
      <c r="H47" s="2265"/>
      <c r="I47" s="2262" t="str">
        <f>S46&amp;".1"</f>
        <v>....1</v>
      </c>
      <c r="J47" s="1369"/>
      <c r="K47" s="1369"/>
      <c r="L47" s="1370" t="s">
        <v>419</v>
      </c>
      <c r="P47" s="2263">
        <v>1</v>
      </c>
      <c r="Q47" s="1226"/>
      <c r="R47" s="362"/>
      <c r="S47" s="1230" t="str">
        <f>$I47</f>
        <v>....1</v>
      </c>
      <c r="T47" s="291" t="s">
        <v>420</v>
      </c>
      <c r="U47" s="306"/>
      <c r="V47" s="2251"/>
      <c r="W47" s="2252"/>
      <c r="X47" s="2252"/>
      <c r="Y47" s="2252"/>
      <c r="Z47" s="2252"/>
      <c r="AA47" s="2252"/>
      <c r="AB47" s="2252"/>
      <c r="AC47" s="2253"/>
      <c r="AD47" s="2251"/>
      <c r="AE47" s="2252"/>
      <c r="AF47" s="2252"/>
      <c r="AG47" s="2252"/>
      <c r="AH47" s="2252"/>
      <c r="AI47" s="2252"/>
      <c r="AJ47" s="2252"/>
      <c r="AK47" s="2252"/>
      <c r="AL47" s="2253"/>
      <c r="AM47" s="1264" t="s">
        <v>421</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4">
      <c r="A48" s="1369" t="s">
        <v>158</v>
      </c>
      <c r="B48" s="1369" t="s">
        <v>159</v>
      </c>
      <c r="C48" s="1369" t="s">
        <v>160</v>
      </c>
      <c r="D48" s="1369" t="s">
        <v>161</v>
      </c>
      <c r="E48" s="2265"/>
      <c r="F48" s="2265"/>
      <c r="G48" s="2265"/>
      <c r="H48" s="2265"/>
      <c r="I48" s="2292"/>
      <c r="J48" s="2262" t="str">
        <f>I47&amp;".1"</f>
        <v>....1.1</v>
      </c>
      <c r="K48" s="1369"/>
      <c r="L48" s="1370" t="s">
        <v>422</v>
      </c>
      <c r="P48" s="2263"/>
      <c r="Q48" s="2263">
        <v>1</v>
      </c>
      <c r="R48" s="363"/>
      <c r="S48" s="1230" t="str">
        <f>$J48</f>
        <v>....1.1</v>
      </c>
      <c r="T48" s="292" t="s">
        <v>423</v>
      </c>
      <c r="U48" s="306"/>
      <c r="V48" s="2251"/>
      <c r="W48" s="2252"/>
      <c r="X48" s="2252"/>
      <c r="Y48" s="2252"/>
      <c r="Z48" s="2252"/>
      <c r="AA48" s="2252"/>
      <c r="AB48" s="2252"/>
      <c r="AC48" s="2253"/>
      <c r="AD48" s="2251"/>
      <c r="AE48" s="2252"/>
      <c r="AF48" s="2252"/>
      <c r="AG48" s="2252"/>
      <c r="AH48" s="2252"/>
      <c r="AI48" s="2252"/>
      <c r="AJ48" s="2252"/>
      <c r="AK48" s="2252"/>
      <c r="AL48" s="2253"/>
      <c r="AM48" s="1264" t="s">
        <v>424</v>
      </c>
      <c r="AO48" s="506"/>
      <c r="AP48" s="506" t="str">
        <f>IF(T48="","",T48)</f>
        <v>Группа потребителей</v>
      </c>
      <c r="AQ48" s="506"/>
      <c r="AR48" s="506"/>
      <c r="AS48" s="1161">
        <v>23</v>
      </c>
    </row>
    <row customHeight="1" ht="24">
      <c r="A49" s="1369" t="s">
        <v>158</v>
      </c>
      <c r="B49" s="1369" t="s">
        <v>159</v>
      </c>
      <c r="C49" s="1369" t="s">
        <v>160</v>
      </c>
      <c r="D49" s="1369" t="s">
        <v>161</v>
      </c>
      <c r="E49" s="2265"/>
      <c r="F49" s="2265"/>
      <c r="G49" s="2265"/>
      <c r="H49" s="2265"/>
      <c r="I49" s="2292"/>
      <c r="J49" s="2292"/>
      <c r="K49" s="2262" t="str">
        <f>J48&amp;".1"</f>
        <v>....1.1.1</v>
      </c>
      <c r="L49" s="1370" t="s">
        <v>425</v>
      </c>
      <c r="P49" s="2263"/>
      <c r="Q49" s="2263"/>
      <c r="R49" s="363">
        <v>1</v>
      </c>
      <c r="S49" s="1230" t="str">
        <f>$K49</f>
        <v>....1.1.1</v>
      </c>
      <c r="T49" s="1353"/>
      <c r="U49" s="306"/>
      <c r="V49" s="757"/>
      <c r="W49" s="331"/>
      <c r="X49" s="757"/>
      <c r="Y49" s="1263"/>
      <c r="Z49" s="2271"/>
      <c r="AA49" s="2113" t="s">
        <v>62</v>
      </c>
      <c r="AB49" s="2271"/>
      <c r="AC49" s="2113" t="s">
        <v>62</v>
      </c>
      <c r="AD49" s="757"/>
      <c r="AE49" s="331"/>
      <c r="AF49" s="757"/>
      <c r="AG49" s="1263"/>
      <c r="AH49" s="2271"/>
      <c r="AI49" s="2113" t="s">
        <v>62</v>
      </c>
      <c r="AJ49" s="2293"/>
      <c r="AK49" s="2113" t="s">
        <v>62</v>
      </c>
      <c r="AL49" s="1354"/>
      <c r="AM49" s="2259" t="s">
        <v>426</v>
      </c>
      <c r="AN49" s="517">
        <f>STRCHECKDATE(V50:AL50)</f>
      </c>
      <c r="AO49" s="506"/>
      <c r="AP49" s="506" t="str">
        <f>IF(T49="","",T49)</f>
        <v/>
      </c>
      <c r="AQ49" s="506"/>
      <c r="AR49" s="506"/>
      <c r="AS49" s="1161">
        <v>23</v>
      </c>
    </row>
    <row customHeight="1" ht="1.05">
      <c r="A50" s="1369" t="s">
        <v>158</v>
      </c>
      <c r="B50" s="1369" t="s">
        <v>159</v>
      </c>
      <c r="C50" s="1369" t="s">
        <v>160</v>
      </c>
      <c r="D50" s="1369" t="s">
        <v>161</v>
      </c>
      <c r="E50" s="2265"/>
      <c r="F50" s="2265"/>
      <c r="G50" s="2265"/>
      <c r="H50" s="2265"/>
      <c r="I50" s="2292"/>
      <c r="J50" s="2292"/>
      <c r="K50" s="2262"/>
      <c r="L50" s="1370"/>
      <c r="P50" s="2263"/>
      <c r="Q50" s="2263"/>
      <c r="R50" s="363"/>
      <c r="S50" s="1229"/>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158</v>
      </c>
      <c r="B51" s="1369" t="s">
        <v>159</v>
      </c>
      <c r="C51" s="1369" t="s">
        <v>160</v>
      </c>
      <c r="D51" s="1369" t="s">
        <v>161</v>
      </c>
      <c r="E51" s="2265"/>
      <c r="F51" s="2265"/>
      <c r="G51" s="2265"/>
      <c r="H51" s="2265"/>
      <c r="I51" s="2292"/>
      <c r="J51" s="2262"/>
      <c r="K51" s="1369"/>
      <c r="L51" s="1370"/>
      <c r="P51" s="2263"/>
      <c r="Q51" s="2263"/>
      <c r="R51" s="362"/>
      <c r="S51" s="1284"/>
      <c r="T51" s="294" t="s">
        <v>427</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158</v>
      </c>
      <c r="B52" s="1369" t="s">
        <v>159</v>
      </c>
      <c r="C52" s="1369" t="s">
        <v>160</v>
      </c>
      <c r="D52" s="1369" t="s">
        <v>161</v>
      </c>
      <c r="E52" s="2265"/>
      <c r="F52" s="2265"/>
      <c r="G52" s="2265"/>
      <c r="H52" s="2265"/>
      <c r="I52" s="2262"/>
      <c r="J52" s="1369"/>
      <c r="K52" s="1369"/>
      <c r="L52" s="1370"/>
      <c r="P52" s="2263"/>
      <c r="Q52" s="1226"/>
      <c r="R52" s="362"/>
      <c r="S52" s="1284"/>
      <c r="T52" s="293" t="s">
        <v>428</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158</v>
      </c>
      <c r="B53" s="1369" t="s">
        <v>159</v>
      </c>
      <c r="C53" s="1369" t="s">
        <v>160</v>
      </c>
      <c r="D53" s="1369" t="s">
        <v>161</v>
      </c>
      <c r="E53" s="2265"/>
      <c r="F53" s="2265"/>
      <c r="G53" s="2265"/>
      <c r="H53" s="2264"/>
      <c r="I53" s="1369"/>
      <c r="J53" s="1369"/>
      <c r="K53" s="1369"/>
      <c r="L53" s="1370"/>
      <c r="M53" s="1371"/>
      <c r="N53" s="1371"/>
      <c r="O53" s="543"/>
      <c r="P53" s="366"/>
      <c r="Q53" s="381"/>
      <c r="R53" s="361"/>
      <c r="S53" s="1284"/>
      <c r="T53" s="371" t="s">
        <v>429</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158</v>
      </c>
      <c r="B54" s="1349" t="s">
        <v>159</v>
      </c>
      <c r="C54" s="1349" t="s">
        <v>160</v>
      </c>
      <c r="D54" s="1320"/>
      <c r="E54" s="2265"/>
      <c r="F54" s="2265"/>
      <c r="G54" s="2264"/>
      <c r="H54" s="1320"/>
      <c r="I54" s="1320"/>
      <c r="J54" s="1320"/>
      <c r="K54" s="1320"/>
      <c r="L54" s="1345"/>
      <c r="M54" s="1321"/>
      <c r="N54" s="1321"/>
      <c r="P54" s="1322"/>
      <c r="Q54" s="1323"/>
      <c r="R54" s="1322"/>
      <c r="S54" s="1328"/>
      <c r="T54" s="1331" t="s">
        <v>430</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158</v>
      </c>
      <c r="B55" s="1349" t="s">
        <v>159</v>
      </c>
      <c r="C55" s="1320"/>
      <c r="D55" s="1320"/>
      <c r="E55" s="2265"/>
      <c r="F55" s="2264"/>
      <c r="G55" s="1320"/>
      <c r="H55" s="1320"/>
      <c r="I55" s="1320"/>
      <c r="J55" s="1320"/>
      <c r="K55" s="1320"/>
      <c r="L55" s="1345"/>
      <c r="M55" s="1327"/>
      <c r="N55" s="1327"/>
      <c r="P55" s="1322"/>
      <c r="Q55" s="1323"/>
      <c r="R55" s="1322"/>
      <c r="S55" s="1328"/>
      <c r="T55" s="1331" t="s">
        <v>251</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158</v>
      </c>
      <c r="B56" s="1349"/>
      <c r="C56" s="1349"/>
      <c r="D56" s="1349"/>
      <c r="E56" s="2264"/>
      <c r="F56" s="1349"/>
      <c r="G56" s="1349"/>
      <c r="H56" s="1349"/>
      <c r="I56" s="1349"/>
      <c r="J56" s="1349"/>
      <c r="K56" s="1349"/>
      <c r="L56" s="1352"/>
      <c r="M56" s="1327"/>
      <c r="N56" s="1327"/>
      <c r="O56" s="524"/>
      <c r="P56" s="386"/>
      <c r="Q56" s="1350"/>
      <c r="R56" s="386"/>
      <c r="S56" s="1328"/>
      <c r="T56" s="1331" t="s">
        <v>252</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264</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7.2">
      <c r="O60" s="543"/>
      <c r="P60" s="1309"/>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64</v>
      </c>
    </row>
    <row customHeight="1" ht="14.699999999999998">
      <c r="O61" s="543"/>
      <c r="AS61" s="1161">
        <v>14</v>
      </c>
    </row>
    <row customHeight="1" ht="18.75">
      <c r="O62" s="543"/>
      <c r="P62" s="1334"/>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P63" s="1334"/>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P64" s="1334"/>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83</v>
      </c>
      <c r="B65" s="1166">
        <v>0</v>
      </c>
      <c r="C65" s="1166">
        <v>0</v>
      </c>
      <c r="D65" s="1166">
        <v>0</v>
      </c>
      <c r="E65" s="1166">
        <v>0</v>
      </c>
      <c r="F65" s="1166">
        <v>0</v>
      </c>
      <c r="G65" s="1166">
        <v>0</v>
      </c>
      <c r="H65" s="1166">
        <v>0</v>
      </c>
      <c r="I65" s="1166">
        <v>0</v>
      </c>
      <c r="J65" s="1166">
        <v>0</v>
      </c>
      <c r="K65" s="1166">
        <v>0</v>
      </c>
      <c r="L65" s="1335">
        <v>0</v>
      </c>
      <c r="M65" s="1368">
        <v>0</v>
      </c>
      <c r="N65" s="1368">
        <v>0</v>
      </c>
      <c r="O65" s="1368">
        <v>0</v>
      </c>
      <c r="P65" s="1224">
        <v>3</v>
      </c>
      <c r="Q65" s="350">
        <v>3</v>
      </c>
      <c r="R65" s="350">
        <v>3</v>
      </c>
      <c r="S65" s="587">
        <v>12</v>
      </c>
      <c r="T65" s="1161">
        <v>35</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03396C-B724-2387-CC12-5C7780C40E7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125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412</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413</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414</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415</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416</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417</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418</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419</v>
      </c>
      <c r="M6" s="543"/>
      <c r="P6" s="2263">
        <v>1</v>
      </c>
      <c r="Q6" s="1337"/>
      <c r="R6" s="362"/>
      <c r="S6" s="1342">
        <f>$I6</f>
      </c>
      <c r="T6" s="291" t="s">
        <v>420</v>
      </c>
      <c r="U6" s="306"/>
      <c r="V6" s="2251"/>
      <c r="W6" s="2252"/>
      <c r="X6" s="2252"/>
      <c r="Y6" s="2252"/>
      <c r="Z6" s="2252"/>
      <c r="AA6" s="2252"/>
      <c r="AB6" s="2252"/>
      <c r="AC6" s="2253"/>
      <c r="AD6" s="2251"/>
      <c r="AE6" s="2252"/>
      <c r="AF6" s="2252"/>
      <c r="AG6" s="2252"/>
      <c r="AH6" s="2252"/>
      <c r="AI6" s="2252"/>
      <c r="AJ6" s="2252"/>
      <c r="AK6" s="2252"/>
      <c r="AL6" s="2253"/>
      <c r="AM6" s="1264" t="s">
        <v>421</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422</v>
      </c>
      <c r="M7" s="543"/>
      <c r="N7" s="1372"/>
      <c r="P7" s="2263"/>
      <c r="Q7" s="2263">
        <v>1</v>
      </c>
      <c r="R7" s="363"/>
      <c r="S7" s="1342">
        <f>$J7</f>
      </c>
      <c r="T7" s="292" t="s">
        <v>423</v>
      </c>
      <c r="U7" s="306"/>
      <c r="V7" s="2251"/>
      <c r="W7" s="2252"/>
      <c r="X7" s="2252"/>
      <c r="Y7" s="2252"/>
      <c r="Z7" s="2252"/>
      <c r="AA7" s="2252"/>
      <c r="AB7" s="2252"/>
      <c r="AC7" s="2253"/>
      <c r="AD7" s="2251"/>
      <c r="AE7" s="2252"/>
      <c r="AF7" s="2252"/>
      <c r="AG7" s="2252"/>
      <c r="AH7" s="2252"/>
      <c r="AI7" s="2252"/>
      <c r="AJ7" s="2252"/>
      <c r="AK7" s="2252"/>
      <c r="AL7" s="2253"/>
      <c r="AM7" s="1264" t="s">
        <v>424</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425</v>
      </c>
      <c r="M8" s="543"/>
      <c r="N8" s="1372"/>
      <c r="O8" s="1372"/>
      <c r="P8" s="2263"/>
      <c r="Q8" s="2263"/>
      <c r="R8" s="363">
        <v>1</v>
      </c>
      <c r="S8" s="1342">
        <f>$K8</f>
      </c>
      <c r="T8" s="1353"/>
      <c r="U8" s="306"/>
      <c r="V8" s="757"/>
      <c r="W8" s="331"/>
      <c r="X8" s="757"/>
      <c r="Y8" s="1263"/>
      <c r="Z8" s="2271"/>
      <c r="AA8" s="2113" t="s">
        <v>62</v>
      </c>
      <c r="AB8" s="2271"/>
      <c r="AC8" s="2113" t="s">
        <v>62</v>
      </c>
      <c r="AD8" s="757"/>
      <c r="AE8" s="331"/>
      <c r="AF8" s="757"/>
      <c r="AG8" s="1263"/>
      <c r="AH8" s="2271"/>
      <c r="AI8" s="2113" t="s">
        <v>62</v>
      </c>
      <c r="AJ8" s="2271"/>
      <c r="AK8" s="2113" t="s">
        <v>62</v>
      </c>
      <c r="AL8" s="331"/>
      <c r="AM8" s="2259" t="s">
        <v>426</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427</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428</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429</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430</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251</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252</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62</v>
      </c>
      <c r="AJ17" s="2273"/>
      <c r="AK17" s="2274" t="s">
        <v>62</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431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432</v>
      </c>
      <c r="P22" s="1368"/>
      <c r="Q22" s="1377"/>
      <c r="R22" s="1377"/>
      <c r="S22" s="735"/>
      <c r="T22" s="1166" t="s">
        <v>433</v>
      </c>
      <c r="AA22" s="192" t="s">
        <v>434</v>
      </c>
      <c r="AC22" s="192" t="s">
        <v>435</v>
      </c>
      <c r="AD22" s="1166" t="s">
        <v>433</v>
      </c>
      <c r="AI22" s="192" t="s">
        <v>436</v>
      </c>
      <c r="AK22" s="192" t="s">
        <v>435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АО «ДГК» СП «Нерюнгринская ГРЭС»</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Государственный комитет по ценовой политике Республики Саха (Якутия)</v>
      </c>
      <c r="W29" s="2257"/>
      <c r="X29" s="2257"/>
      <c r="Y29" s="2257"/>
      <c r="Z29" s="2257"/>
      <c r="AA29" s="2257"/>
      <c r="AB29" s="2257"/>
      <c r="AC29" s="332"/>
      <c r="AD29" s="2257" t="str">
        <f>IF(TITLE_NAME_OR_PR_CHANGE="",IF(TITLE_NAME_OR_PR="","",TITLE_NAME_OR_PR),TITLE_NAME_OR_PR_CHANGE)</f>
        <v>Государственный комитет по ценовой политике Республики Саха (Якутия)</v>
      </c>
      <c r="AE29" s="2257"/>
      <c r="AF29" s="2257"/>
      <c r="AG29" s="2257"/>
      <c r="AH29" s="2257"/>
      <c r="AI29" s="2257"/>
      <c r="AJ29" s="2257"/>
      <c r="AK29" s="332"/>
      <c r="AL29" s="332"/>
      <c r="AM29" s="286"/>
      <c r="AN29" s="374"/>
      <c r="AO29" s="374"/>
      <c r="AP29" s="374"/>
      <c r="AQ29" s="374"/>
      <c r="AR29" s="374"/>
      <c r="AS29" s="424">
        <v>0</v>
      </c>
    </row>
    <row s="1859" customFormat="1" customHeight="1" ht="18.75">
      <c r="A30" s="1374"/>
      <c r="B30" s="1374"/>
      <c r="C30" s="1374"/>
      <c r="D30" s="1374"/>
      <c r="E30" s="1374"/>
      <c r="F30" s="1374"/>
      <c r="G30" s="1374"/>
      <c r="H30" s="1374"/>
      <c r="I30" s="1374"/>
      <c r="J30" s="1374"/>
      <c r="K30" s="1374"/>
      <c r="L30" s="1375"/>
      <c r="M30" s="1374"/>
      <c r="N30" s="1374"/>
      <c r="O30" s="1374"/>
      <c r="S30" s="2256" t="s">
        <v>437</v>
      </c>
      <c r="T30" s="2256"/>
      <c r="U30" s="1378"/>
      <c r="V30" s="2270" t="str">
        <f>IF(TITLE_DATE_PR_CHANGE="",IF(TITLE_DATE_PR="","",TITLE_DATE_PR),TITLE_DATE_PR_CHANGE)</f>
        <v>46003.502546296295</v>
      </c>
      <c r="W30" s="2270"/>
      <c r="X30" s="2270"/>
      <c r="Y30" s="2270"/>
      <c r="Z30" s="2270"/>
      <c r="AA30" s="2270"/>
      <c r="AB30" s="2270"/>
      <c r="AC30" s="332"/>
      <c r="AD30" s="2270" t="str">
        <f>IF(TITLE_DATE_PR_CHANGE="",IF(TITLE_DATE_PR="","",TITLE_DATE_PR),TITLE_DATE_PR_CHANGE)</f>
        <v>46003.502546296295</v>
      </c>
      <c r="AE30" s="2270"/>
      <c r="AF30" s="2270"/>
      <c r="AG30" s="2270"/>
      <c r="AH30" s="2270"/>
      <c r="AI30" s="2270"/>
      <c r="AJ30" s="2270"/>
      <c r="AK30" s="332"/>
      <c r="AL30" s="332"/>
      <c r="AM30" s="286"/>
      <c r="AN30" s="374"/>
      <c r="AO30" s="374"/>
      <c r="AP30" s="374"/>
      <c r="AQ30" s="374"/>
      <c r="AR30" s="374"/>
      <c r="AS30" s="424">
        <v>0</v>
      </c>
    </row>
    <row s="1859" customFormat="1" customHeight="1" ht="18.75">
      <c r="A31" s="1374"/>
      <c r="B31" s="1374"/>
      <c r="C31" s="1374"/>
      <c r="D31" s="1374"/>
      <c r="E31" s="1374"/>
      <c r="F31" s="1374"/>
      <c r="G31" s="1374"/>
      <c r="H31" s="1374"/>
      <c r="I31" s="1374"/>
      <c r="J31" s="1374"/>
      <c r="K31" s="1374"/>
      <c r="L31" s="1375"/>
      <c r="M31" s="1374"/>
      <c r="N31" s="1374"/>
      <c r="O31" s="1374"/>
      <c r="S31" s="2256" t="s">
        <v>438</v>
      </c>
      <c r="T31" s="2256"/>
      <c r="U31" s="1378"/>
      <c r="V31" s="2257" t="str">
        <f>IF(TITLE_NUMBER_PR_CHANGE="",IF(TITLE_NUMBER_PR="","",TITLE_NUMBER_PR),TITLE_NUMBER_PR_CHANGE)</f>
        <v>№ 222</v>
      </c>
      <c r="W31" s="2257"/>
      <c r="X31" s="2257"/>
      <c r="Y31" s="2257"/>
      <c r="Z31" s="2257"/>
      <c r="AA31" s="2257"/>
      <c r="AB31" s="2257"/>
      <c r="AC31" s="332"/>
      <c r="AD31" s="2257" t="str">
        <f>IF(TITLE_NUMBER_PR_CHANGE="",IF(TITLE_NUMBER_PR="","",TITLE_NUMBER_PR),TITLE_NUMBER_PR_CHANGE)</f>
        <v>№ 222</v>
      </c>
      <c r="AE31" s="2257"/>
      <c r="AF31" s="2257"/>
      <c r="AG31" s="2257"/>
      <c r="AH31" s="2257"/>
      <c r="AI31" s="2257"/>
      <c r="AJ31" s="2257"/>
      <c r="AK31" s="332"/>
      <c r="AL31" s="332"/>
      <c r="AM31" s="286"/>
      <c r="AN31" s="374"/>
      <c r="AO31" s="374"/>
      <c r="AP31" s="374"/>
      <c r="AQ31" s="374"/>
      <c r="AR31" s="374"/>
      <c r="AS31" s="424">
        <v>0</v>
      </c>
    </row>
    <row s="1859" customFormat="1" customHeight="1" ht="18.75">
      <c r="A32" s="1374"/>
      <c r="B32" s="1374"/>
      <c r="C32" s="1374"/>
      <c r="D32" s="1374"/>
      <c r="E32" s="1374"/>
      <c r="F32" s="1374"/>
      <c r="G32" s="1374"/>
      <c r="H32" s="1374"/>
      <c r="I32" s="1374"/>
      <c r="J32" s="1374"/>
      <c r="K32" s="1374"/>
      <c r="L32" s="1375"/>
      <c r="M32" s="1374"/>
      <c r="N32" s="1374"/>
      <c r="O32" s="1374"/>
      <c r="S32" s="2256" t="s">
        <v>44</v>
      </c>
      <c r="T32" s="2256"/>
      <c r="U32" s="1378"/>
      <c r="V32" s="2257" t="str">
        <f>IF(TITLE_IST_PUB_CHANGE="",IF(TITLE_IST_PUB="","",TITLE_IST_PUB),TITLE_IST_PUB_CHANGE)</f>
        <v>Официальный интернет-портал правовой информации http://pravo.gov.ru/ </v>
      </c>
      <c r="W32" s="2257"/>
      <c r="X32" s="2257"/>
      <c r="Y32" s="2257"/>
      <c r="Z32" s="2257"/>
      <c r="AA32" s="2257"/>
      <c r="AB32" s="2257"/>
      <c r="AC32" s="332"/>
      <c r="AD32" s="2257" t="str">
        <f>IF(TITLE_IST_PUB_CHANGE="",IF(TITLE_IST_PUB="","",TITLE_IST_PUB),TITLE_IST_PUB_CHANGE)</f>
        <v>Официальный интернет-портал правовой информации http://pravo.gov.ru/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439</v>
      </c>
      <c r="T34" s="2256"/>
      <c r="U34" s="1378"/>
      <c r="V34" s="2270" t="str">
        <f>IF(TITLE_DATE_PR_CHANGE="",IF(TITLE_DATE_PR="","",TITLE_DATE_PR),TITLE_DATE_PR_CHANGE)</f>
        <v>46003.502546296295</v>
      </c>
      <c r="W34" s="2270"/>
      <c r="X34" s="2270"/>
      <c r="Y34" s="2270"/>
      <c r="Z34" s="2270"/>
      <c r="AA34" s="2270"/>
      <c r="AB34" s="2270"/>
      <c r="AC34" s="332"/>
      <c r="AD34" s="2270" t="str">
        <f>IF(TITLE_DATE_PR_CHANGE="",IF(TITLE_DATE_PR="","",TITLE_DATE_PR),TITLE_DATE_PR_CHANGE)</f>
        <v>46003.502546296295</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440</v>
      </c>
      <c r="T35" s="2256"/>
      <c r="U35" s="1378"/>
      <c r="V35" s="2257" t="str">
        <f>IF(TITLE_NUMBER_PR_CHANGE="",IF(TITLE_NUMBER_PR="","",TITLE_NUMBER_PR),TITLE_NUMBER_PR_CHANGE)</f>
        <v>№ 222</v>
      </c>
      <c r="W35" s="2257"/>
      <c r="X35" s="2257"/>
      <c r="Y35" s="2257"/>
      <c r="Z35" s="2257"/>
      <c r="AA35" s="2257"/>
      <c r="AB35" s="2257"/>
      <c r="AC35" s="332"/>
      <c r="AD35" s="2257" t="str">
        <f>IF(TITLE_NUMBER_PR_CHANGE="",IF(TITLE_NUMBER_PR="","",TITLE_NUMBER_PR),TITLE_NUMBER_PR_CHANGE)</f>
        <v>№ 222</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441</v>
      </c>
      <c r="AD36" s="332"/>
      <c r="AE36" s="332"/>
      <c r="AF36" s="332"/>
      <c r="AG36" s="332"/>
      <c r="AH36" s="332"/>
      <c r="AI36" s="332"/>
      <c r="AJ36" s="332"/>
      <c r="AK36" s="284" t="s">
        <v>441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316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317</v>
      </c>
      <c r="AS38" s="1161">
        <v>14</v>
      </c>
    </row>
    <row customHeight="1" ht="14.699999999999998">
      <c r="Q39" s="382"/>
      <c r="R39" s="382"/>
      <c r="S39" s="2279" t="s">
        <v>89</v>
      </c>
      <c r="T39" s="2215" t="s">
        <v>442</v>
      </c>
      <c r="U39" s="307"/>
      <c r="V39" s="2280" t="s">
        <v>443</v>
      </c>
      <c r="W39" s="2281"/>
      <c r="X39" s="2281"/>
      <c r="Y39" s="2281"/>
      <c r="Z39" s="2281"/>
      <c r="AA39" s="2281"/>
      <c r="AB39" s="2282"/>
      <c r="AC39" s="2283" t="s">
        <v>444</v>
      </c>
      <c r="AD39" s="2280" t="s">
        <v>443</v>
      </c>
      <c r="AE39" s="2281"/>
      <c r="AF39" s="2281"/>
      <c r="AG39" s="2281"/>
      <c r="AH39" s="2281"/>
      <c r="AI39" s="2281"/>
      <c r="AJ39" s="2282"/>
      <c r="AK39" s="2283" t="s">
        <v>445</v>
      </c>
      <c r="AL39" s="2286" t="s">
        <v>446</v>
      </c>
      <c r="AM39" s="2133"/>
      <c r="AS39" s="1161">
        <v>14</v>
      </c>
    </row>
    <row customHeight="1" ht="35.699999999999996">
      <c r="Q40" s="382"/>
      <c r="R40" s="382"/>
      <c r="S40" s="2279"/>
      <c r="T40" s="2215"/>
      <c r="U40" s="1037"/>
      <c r="V40" s="2266" t="s">
        <v>447</v>
      </c>
      <c r="W40" s="2289" t="s">
        <v>448</v>
      </c>
      <c r="X40" s="2268" t="s">
        <v>449</v>
      </c>
      <c r="Y40" s="2269"/>
      <c r="Z40" s="2268" t="s">
        <v>462</v>
      </c>
      <c r="AA40" s="2275"/>
      <c r="AB40" s="2269"/>
      <c r="AC40" s="2284"/>
      <c r="AD40" s="2266" t="s">
        <v>447</v>
      </c>
      <c r="AE40" s="2289" t="s">
        <v>448</v>
      </c>
      <c r="AF40" s="2268" t="s">
        <v>449</v>
      </c>
      <c r="AG40" s="2269"/>
      <c r="AH40" s="2268" t="s">
        <v>450</v>
      </c>
      <c r="AI40" s="2275"/>
      <c r="AJ40" s="2269"/>
      <c r="AK40" s="2284"/>
      <c r="AL40" s="2287"/>
      <c r="AM40" s="2133"/>
      <c r="AS40" s="1161">
        <v>34</v>
      </c>
    </row>
    <row customHeight="1" ht="35.699999999999996">
      <c r="A41" s="1376"/>
      <c r="B41" s="1376" t="s">
        <v>137</v>
      </c>
      <c r="C41" s="1376" t="s">
        <v>138</v>
      </c>
      <c r="D41" s="1376" t="s">
        <v>139</v>
      </c>
      <c r="E41" s="1370" t="s">
        <v>451</v>
      </c>
      <c r="F41" s="1370" t="s">
        <v>452</v>
      </c>
      <c r="G41" s="1370" t="s">
        <v>453</v>
      </c>
      <c r="H41" s="1370" t="s">
        <v>454</v>
      </c>
      <c r="I41" s="1370" t="s">
        <v>455</v>
      </c>
      <c r="J41" s="1370" t="s">
        <v>456</v>
      </c>
      <c r="K41" s="1370" t="s">
        <v>457</v>
      </c>
      <c r="L41" s="1370" t="s">
        <v>432</v>
      </c>
      <c r="Q41" s="382"/>
      <c r="R41" s="382"/>
      <c r="S41" s="2279"/>
      <c r="T41" s="2215"/>
      <c r="U41" s="308"/>
      <c r="V41" s="2267"/>
      <c r="W41" s="2290"/>
      <c r="X41" s="1228" t="s">
        <v>458</v>
      </c>
      <c r="Y41" s="1228" t="s">
        <v>459</v>
      </c>
      <c r="Z41" s="1344" t="s">
        <v>460</v>
      </c>
      <c r="AA41" s="2276" t="s">
        <v>461</v>
      </c>
      <c r="AB41" s="2277"/>
      <c r="AC41" s="2285"/>
      <c r="AD41" s="2267"/>
      <c r="AE41" s="2290"/>
      <c r="AF41" s="1228" t="s">
        <v>458</v>
      </c>
      <c r="AG41" s="1228" t="s">
        <v>459</v>
      </c>
      <c r="AH41" s="1344" t="s">
        <v>460</v>
      </c>
      <c r="AI41" s="2276" t="s">
        <v>461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111</v>
      </c>
      <c r="T42" s="1261" t="s">
        <v>112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163</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125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c r="AS43" s="1161">
        <v>21</v>
      </c>
    </row>
    <row customHeight="1" ht="22.049999999999997">
      <c r="A44" s="1369" t="s">
        <v>163</v>
      </c>
      <c r="B44" s="1369" t="s">
        <v>164</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413</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414</v>
      </c>
      <c r="AO44" s="506"/>
      <c r="AP44" s="506" t="str">
        <f>IF(T44="","",T44)</f>
        <v>Территория действия тарифа</v>
      </c>
      <c r="AQ44" s="506"/>
      <c r="AR44" s="506"/>
      <c r="AS44" s="1161">
        <v>21</v>
      </c>
    </row>
    <row customHeight="1" ht="24">
      <c r="A45" s="1369" t="s">
        <v>163</v>
      </c>
      <c r="B45" s="1369" t="s">
        <v>164</v>
      </c>
      <c r="C45" s="1369" t="s">
        <v>165</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415</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416</v>
      </c>
      <c r="AO45" s="506"/>
      <c r="AP45" s="506" t="str">
        <f>IF(T45="","",T45)</f>
        <v>Наименование системы теплоснабжения </v>
      </c>
      <c r="AQ45" s="506"/>
      <c r="AR45" s="506"/>
      <c r="AS45" s="1161">
        <v>23</v>
      </c>
    </row>
    <row customHeight="1" ht="22.049999999999997">
      <c r="A46" s="1369" t="s">
        <v>163</v>
      </c>
      <c r="B46" s="1369" t="s">
        <v>164</v>
      </c>
      <c r="C46" s="1369" t="s">
        <v>165</v>
      </c>
      <c r="D46" s="1369" t="s">
        <v>166</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417</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418</v>
      </c>
      <c r="AO46" s="506"/>
      <c r="AP46" s="506" t="str">
        <f>IF(T46="","",T46)</f>
        <v>Источник тепловой энергии  </v>
      </c>
      <c r="AQ46" s="506"/>
      <c r="AR46" s="506"/>
      <c r="AS46" s="1161">
        <v>21</v>
      </c>
    </row>
    <row customHeight="1" ht="49.5">
      <c r="A47" s="1369" t="s">
        <v>163</v>
      </c>
      <c r="B47" s="1369" t="s">
        <v>164</v>
      </c>
      <c r="C47" s="1369" t="s">
        <v>165</v>
      </c>
      <c r="D47" s="1369" t="s">
        <v>166</v>
      </c>
      <c r="E47" s="2265"/>
      <c r="F47" s="2265"/>
      <c r="G47" s="2265"/>
      <c r="H47" s="2265"/>
      <c r="I47" s="2262" t="str">
        <f>S46&amp;".1"</f>
        <v>....1</v>
      </c>
      <c r="J47" s="1369"/>
      <c r="K47" s="1369"/>
      <c r="L47" s="1370" t="s">
        <v>419</v>
      </c>
      <c r="P47" s="2263">
        <v>1</v>
      </c>
      <c r="Q47" s="1337"/>
      <c r="R47" s="362"/>
      <c r="S47" s="1342" t="str">
        <f>$I47</f>
        <v>....1</v>
      </c>
      <c r="T47" s="291" t="s">
        <v>420</v>
      </c>
      <c r="U47" s="306"/>
      <c r="V47" s="2251"/>
      <c r="W47" s="2252"/>
      <c r="X47" s="2252"/>
      <c r="Y47" s="2252"/>
      <c r="Z47" s="2252"/>
      <c r="AA47" s="2252"/>
      <c r="AB47" s="2252"/>
      <c r="AC47" s="2253"/>
      <c r="AD47" s="2251"/>
      <c r="AE47" s="2252"/>
      <c r="AF47" s="2252"/>
      <c r="AG47" s="2252"/>
      <c r="AH47" s="2252"/>
      <c r="AI47" s="2252"/>
      <c r="AJ47" s="2252"/>
      <c r="AK47" s="2252"/>
      <c r="AL47" s="2253"/>
      <c r="AM47" s="1264" t="s">
        <v>421</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163</v>
      </c>
      <c r="B48" s="1369" t="s">
        <v>164</v>
      </c>
      <c r="C48" s="1369" t="s">
        <v>165</v>
      </c>
      <c r="D48" s="1369" t="s">
        <v>166</v>
      </c>
      <c r="E48" s="2265"/>
      <c r="F48" s="2265"/>
      <c r="G48" s="2265"/>
      <c r="H48" s="2265"/>
      <c r="I48" s="2292"/>
      <c r="J48" s="2262" t="str">
        <f>I47&amp;".1"</f>
        <v>....1.1</v>
      </c>
      <c r="K48" s="1369"/>
      <c r="L48" s="1370" t="s">
        <v>422</v>
      </c>
      <c r="P48" s="2263"/>
      <c r="Q48" s="2263">
        <v>1</v>
      </c>
      <c r="R48" s="363"/>
      <c r="S48" s="1342" t="str">
        <f>$J48</f>
        <v>....1.1</v>
      </c>
      <c r="T48" s="292" t="s">
        <v>423</v>
      </c>
      <c r="U48" s="306"/>
      <c r="V48" s="2251"/>
      <c r="W48" s="2252"/>
      <c r="X48" s="2252"/>
      <c r="Y48" s="2252"/>
      <c r="Z48" s="2252"/>
      <c r="AA48" s="2252"/>
      <c r="AB48" s="2252"/>
      <c r="AC48" s="2253"/>
      <c r="AD48" s="2251"/>
      <c r="AE48" s="2252"/>
      <c r="AF48" s="2252"/>
      <c r="AG48" s="2252"/>
      <c r="AH48" s="2252"/>
      <c r="AI48" s="2252"/>
      <c r="AJ48" s="2252"/>
      <c r="AK48" s="2252"/>
      <c r="AL48" s="2253"/>
      <c r="AM48" s="1264" t="s">
        <v>424</v>
      </c>
      <c r="AO48" s="506"/>
      <c r="AP48" s="506" t="str">
        <f>IF(T48="","",T48)</f>
        <v>Группа потребителей</v>
      </c>
      <c r="AQ48" s="506"/>
      <c r="AR48" s="506"/>
      <c r="AS48" s="1161">
        <v>21</v>
      </c>
    </row>
    <row customHeight="1" ht="22.049999999999997">
      <c r="A49" s="1369" t="s">
        <v>163</v>
      </c>
      <c r="B49" s="1369" t="s">
        <v>164</v>
      </c>
      <c r="C49" s="1369" t="s">
        <v>165</v>
      </c>
      <c r="D49" s="1369" t="s">
        <v>166</v>
      </c>
      <c r="E49" s="2265"/>
      <c r="F49" s="2265"/>
      <c r="G49" s="2265"/>
      <c r="H49" s="2265"/>
      <c r="I49" s="2292"/>
      <c r="J49" s="2292"/>
      <c r="K49" s="2262" t="str">
        <f>J48&amp;".1"</f>
        <v>....1.1.1</v>
      </c>
      <c r="L49" s="1370" t="s">
        <v>425</v>
      </c>
      <c r="P49" s="2263"/>
      <c r="Q49" s="2263"/>
      <c r="R49" s="363">
        <v>1</v>
      </c>
      <c r="S49" s="1342" t="str">
        <f>$K49</f>
        <v>....1.1.1</v>
      </c>
      <c r="T49" s="1353"/>
      <c r="U49" s="306"/>
      <c r="V49" s="757"/>
      <c r="W49" s="331"/>
      <c r="X49" s="757"/>
      <c r="Y49" s="1263"/>
      <c r="Z49" s="2271"/>
      <c r="AA49" s="2113" t="s">
        <v>62</v>
      </c>
      <c r="AB49" s="2271"/>
      <c r="AC49" s="2113" t="s">
        <v>62</v>
      </c>
      <c r="AD49" s="757"/>
      <c r="AE49" s="331"/>
      <c r="AF49" s="757"/>
      <c r="AG49" s="1263"/>
      <c r="AH49" s="2271"/>
      <c r="AI49" s="2113" t="s">
        <v>62</v>
      </c>
      <c r="AJ49" s="2293"/>
      <c r="AK49" s="2113" t="s">
        <v>62</v>
      </c>
      <c r="AL49" s="1354"/>
      <c r="AM49" s="2259" t="s">
        <v>426</v>
      </c>
      <c r="AN49" s="517">
        <f>STRCHECKDATE(V50:AL50)</f>
      </c>
      <c r="AO49" s="506"/>
      <c r="AP49" s="506" t="str">
        <f>IF(T49="","",T49)</f>
        <v/>
      </c>
      <c r="AQ49" s="506"/>
      <c r="AR49" s="506"/>
      <c r="AS49" s="1161">
        <v>21</v>
      </c>
    </row>
    <row customHeight="1" ht="1.05">
      <c r="A50" s="1369" t="s">
        <v>163</v>
      </c>
      <c r="B50" s="1369" t="s">
        <v>164</v>
      </c>
      <c r="C50" s="1369" t="s">
        <v>165</v>
      </c>
      <c r="D50" s="1369" t="s">
        <v>166</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163</v>
      </c>
      <c r="B51" s="1369" t="s">
        <v>164</v>
      </c>
      <c r="C51" s="1369" t="s">
        <v>165</v>
      </c>
      <c r="D51" s="1369" t="s">
        <v>166</v>
      </c>
      <c r="E51" s="2265"/>
      <c r="F51" s="2265"/>
      <c r="G51" s="2265"/>
      <c r="H51" s="2265"/>
      <c r="I51" s="2292"/>
      <c r="J51" s="2262"/>
      <c r="K51" s="1369"/>
      <c r="L51" s="1370"/>
      <c r="P51" s="2263"/>
      <c r="Q51" s="2263"/>
      <c r="R51" s="362"/>
      <c r="S51" s="1284"/>
      <c r="T51" s="294" t="s">
        <v>427</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163</v>
      </c>
      <c r="B52" s="1369" t="s">
        <v>164</v>
      </c>
      <c r="C52" s="1369" t="s">
        <v>165</v>
      </c>
      <c r="D52" s="1369" t="s">
        <v>166</v>
      </c>
      <c r="E52" s="2265"/>
      <c r="F52" s="2265"/>
      <c r="G52" s="2265"/>
      <c r="H52" s="2265"/>
      <c r="I52" s="2262"/>
      <c r="J52" s="1369"/>
      <c r="K52" s="1369"/>
      <c r="L52" s="1370"/>
      <c r="P52" s="2263"/>
      <c r="Q52" s="1337"/>
      <c r="R52" s="362"/>
      <c r="S52" s="1284"/>
      <c r="T52" s="293" t="s">
        <v>428</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163</v>
      </c>
      <c r="B53" s="1369" t="s">
        <v>164</v>
      </c>
      <c r="C53" s="1369" t="s">
        <v>165</v>
      </c>
      <c r="D53" s="1369" t="s">
        <v>166</v>
      </c>
      <c r="E53" s="2265"/>
      <c r="F53" s="2265"/>
      <c r="G53" s="2265"/>
      <c r="H53" s="2264"/>
      <c r="I53" s="1369"/>
      <c r="J53" s="1369"/>
      <c r="K53" s="1369"/>
      <c r="L53" s="1370"/>
      <c r="M53" s="1371"/>
      <c r="N53" s="1371"/>
      <c r="O53" s="543"/>
      <c r="P53" s="366"/>
      <c r="Q53" s="381"/>
      <c r="R53" s="361"/>
      <c r="S53" s="1284"/>
      <c r="T53" s="371" t="s">
        <v>429</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163</v>
      </c>
      <c r="B54" s="1349" t="s">
        <v>164</v>
      </c>
      <c r="C54" s="1349" t="s">
        <v>165</v>
      </c>
      <c r="D54" s="1320"/>
      <c r="E54" s="2265"/>
      <c r="F54" s="2265"/>
      <c r="G54" s="2264"/>
      <c r="H54" s="1320"/>
      <c r="I54" s="1320"/>
      <c r="J54" s="1320"/>
      <c r="K54" s="1320"/>
      <c r="L54" s="1345"/>
      <c r="M54" s="1321"/>
      <c r="N54" s="1321"/>
      <c r="P54" s="1322"/>
      <c r="Q54" s="1323"/>
      <c r="R54" s="1322"/>
      <c r="S54" s="1328"/>
      <c r="T54" s="1331" t="s">
        <v>430</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163</v>
      </c>
      <c r="B55" s="1349" t="s">
        <v>164</v>
      </c>
      <c r="C55" s="1320"/>
      <c r="D55" s="1320"/>
      <c r="E55" s="2265"/>
      <c r="F55" s="2264"/>
      <c r="G55" s="1320"/>
      <c r="H55" s="1320"/>
      <c r="I55" s="1320"/>
      <c r="J55" s="1320"/>
      <c r="K55" s="1320"/>
      <c r="L55" s="1345"/>
      <c r="M55" s="1327"/>
      <c r="N55" s="1327"/>
      <c r="P55" s="1322"/>
      <c r="Q55" s="1323"/>
      <c r="R55" s="1322"/>
      <c r="S55" s="1328"/>
      <c r="T55" s="1331" t="s">
        <v>251</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163</v>
      </c>
      <c r="B56" s="1349"/>
      <c r="C56" s="1349"/>
      <c r="D56" s="1349"/>
      <c r="E56" s="2264"/>
      <c r="F56" s="1349"/>
      <c r="G56" s="1349"/>
      <c r="H56" s="1349"/>
      <c r="I56" s="1349"/>
      <c r="J56" s="1349"/>
      <c r="K56" s="1349"/>
      <c r="L56" s="1352"/>
      <c r="M56" s="1327"/>
      <c r="N56" s="1327"/>
      <c r="O56" s="524"/>
      <c r="P56" s="386"/>
      <c r="Q56" s="1350"/>
      <c r="R56" s="386"/>
      <c r="S56" s="1328"/>
      <c r="T56" s="1331" t="s">
        <v>252</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264</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5.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62</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83</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2D2767-D992-4A6A-251D-2B3909CAFB2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125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412</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413</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414</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415</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416</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417</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418</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419</v>
      </c>
      <c r="M6" s="1641"/>
      <c r="P6" s="2263">
        <v>1</v>
      </c>
      <c r="Q6" s="1960"/>
      <c r="R6" s="362"/>
      <c r="S6" s="1964">
        <f>$I6</f>
      </c>
      <c r="T6" s="291" t="s">
        <v>420</v>
      </c>
      <c r="U6" s="306"/>
      <c r="V6" s="2251"/>
      <c r="W6" s="2252"/>
      <c r="X6" s="2252"/>
      <c r="Y6" s="2252"/>
      <c r="Z6" s="2252"/>
      <c r="AA6" s="2252"/>
      <c r="AB6" s="2252"/>
      <c r="AC6" s="2253"/>
      <c r="AD6" s="2251"/>
      <c r="AE6" s="2252"/>
      <c r="AF6" s="2252"/>
      <c r="AG6" s="2252"/>
      <c r="AH6" s="2252"/>
      <c r="AI6" s="2252"/>
      <c r="AJ6" s="2252"/>
      <c r="AK6" s="2252"/>
      <c r="AL6" s="2253"/>
      <c r="AM6" s="1264" t="s">
        <v>421</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422</v>
      </c>
      <c r="M7" s="1641"/>
      <c r="N7" s="1637"/>
      <c r="P7" s="2263"/>
      <c r="Q7" s="2263">
        <v>1</v>
      </c>
      <c r="R7" s="363"/>
      <c r="S7" s="1964">
        <f>$J7</f>
      </c>
      <c r="T7" s="292" t="s">
        <v>423</v>
      </c>
      <c r="U7" s="306"/>
      <c r="V7" s="2251"/>
      <c r="W7" s="2252"/>
      <c r="X7" s="2252"/>
      <c r="Y7" s="2252"/>
      <c r="Z7" s="2252"/>
      <c r="AA7" s="2252"/>
      <c r="AB7" s="2252"/>
      <c r="AC7" s="2253"/>
      <c r="AD7" s="2251"/>
      <c r="AE7" s="2252"/>
      <c r="AF7" s="2252"/>
      <c r="AG7" s="2252"/>
      <c r="AH7" s="2252"/>
      <c r="AI7" s="2252"/>
      <c r="AJ7" s="2252"/>
      <c r="AK7" s="2252"/>
      <c r="AL7" s="2253"/>
      <c r="AM7" s="1264" t="s">
        <v>424</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425</v>
      </c>
      <c r="M8" s="1641"/>
      <c r="N8" s="1637"/>
      <c r="O8" s="1637"/>
      <c r="P8" s="2263"/>
      <c r="Q8" s="2263"/>
      <c r="R8" s="363">
        <v>1</v>
      </c>
      <c r="S8" s="1964">
        <f>$K8</f>
      </c>
      <c r="T8" s="1353"/>
      <c r="U8" s="306"/>
      <c r="V8" s="757"/>
      <c r="W8" s="331"/>
      <c r="X8" s="757"/>
      <c r="Y8" s="1263"/>
      <c r="Z8" s="2271"/>
      <c r="AA8" s="2113" t="s">
        <v>62</v>
      </c>
      <c r="AB8" s="2271"/>
      <c r="AC8" s="2113" t="s">
        <v>62</v>
      </c>
      <c r="AD8" s="757"/>
      <c r="AE8" s="331"/>
      <c r="AF8" s="757"/>
      <c r="AG8" s="1263"/>
      <c r="AH8" s="2271"/>
      <c r="AI8" s="2113" t="s">
        <v>62</v>
      </c>
      <c r="AJ8" s="2271"/>
      <c r="AK8" s="2113" t="s">
        <v>62</v>
      </c>
      <c r="AL8" s="331"/>
      <c r="AM8" s="2259" t="s">
        <v>426</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427</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428</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429</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380"/>
      <c r="B13" s="1380"/>
      <c r="C13" s="1380"/>
      <c r="D13" s="1380"/>
      <c r="E13" s="2296"/>
      <c r="F13" s="2296"/>
      <c r="G13" s="2295"/>
      <c r="H13" s="1380"/>
      <c r="I13" s="1380"/>
      <c r="J13" s="1380"/>
      <c r="K13" s="1380"/>
      <c r="L13" s="1383"/>
      <c r="M13" s="1384"/>
      <c r="N13" s="1384"/>
      <c r="O13" s="357"/>
      <c r="P13" s="1322"/>
      <c r="Q13" s="1323"/>
      <c r="R13" s="1322"/>
      <c r="S13" s="1324"/>
      <c r="T13" s="1325" t="s">
        <v>430</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380"/>
      <c r="B14" s="1380"/>
      <c r="C14" s="1380"/>
      <c r="D14" s="1380"/>
      <c r="E14" s="2296"/>
      <c r="F14" s="2295"/>
      <c r="G14" s="1380"/>
      <c r="H14" s="1380"/>
      <c r="I14" s="1380"/>
      <c r="J14" s="1380"/>
      <c r="K14" s="1380"/>
      <c r="L14" s="1383"/>
      <c r="M14" s="1385"/>
      <c r="N14" s="1385"/>
      <c r="O14" s="357"/>
      <c r="P14" s="1322"/>
      <c r="Q14" s="1323"/>
      <c r="R14" s="1322"/>
      <c r="S14" s="1328"/>
      <c r="T14" s="1329" t="s">
        <v>251</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380"/>
      <c r="B15" s="1380"/>
      <c r="C15" s="1380"/>
      <c r="D15" s="1380"/>
      <c r="E15" s="2295"/>
      <c r="F15" s="1380"/>
      <c r="G15" s="1380"/>
      <c r="H15" s="1380"/>
      <c r="I15" s="1380"/>
      <c r="J15" s="1380"/>
      <c r="K15" s="1380"/>
      <c r="L15" s="1383"/>
      <c r="M15" s="1385"/>
      <c r="N15" s="1385"/>
      <c r="O15" s="357"/>
      <c r="P15" s="1322"/>
      <c r="Q15" s="1323"/>
      <c r="R15" s="1322"/>
      <c r="S15" s="1328"/>
      <c r="T15" s="1331" t="s">
        <v>252</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62</v>
      </c>
      <c r="AJ17" s="2273"/>
      <c r="AK17" s="2274" t="s">
        <v>62</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431</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432</v>
      </c>
      <c r="P22" s="1368"/>
      <c r="Q22" s="1377"/>
      <c r="R22" s="1377"/>
      <c r="S22" s="735"/>
      <c r="T22" s="1372" t="s">
        <v>433</v>
      </c>
      <c r="AA22" s="601" t="s">
        <v>434</v>
      </c>
      <c r="AC22" s="601" t="s">
        <v>435</v>
      </c>
      <c r="AD22" s="1372" t="s">
        <v>433</v>
      </c>
      <c r="AI22" s="601" t="s">
        <v>436</v>
      </c>
      <c r="AK22" s="601" t="s">
        <v>435</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АО «ДГК» СП «Нерюнгринская ГРЭС»</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Государственный комитет по ценовой политике Республики Саха (Якутия)</v>
      </c>
      <c r="W29" s="2257"/>
      <c r="X29" s="2257"/>
      <c r="Y29" s="2257"/>
      <c r="Z29" s="2257"/>
      <c r="AA29" s="2257"/>
      <c r="AB29" s="2257"/>
      <c r="AC29" s="1641"/>
      <c r="AD29" s="2257" t="str">
        <f>IF(TITLE_NAME_OR_PR_CHANGE="",IF(TITLE_NAME_OR_PR="","",TITLE_NAME_OR_PR),TITLE_NAME_OR_PR_CHANGE)</f>
        <v>Государственный комитет по ценовой политике Республики Саха (Якутия)</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437</v>
      </c>
      <c r="T30" s="2256"/>
      <c r="U30" s="1378"/>
      <c r="V30" s="2270" t="str">
        <f>IF(TITLE_DATE_PR_CHANGE="",IF(TITLE_DATE_PR="","",TITLE_DATE_PR),TITLE_DATE_PR_CHANGE)</f>
        <v>46003.502546296295</v>
      </c>
      <c r="W30" s="2270"/>
      <c r="X30" s="2270"/>
      <c r="Y30" s="2270"/>
      <c r="Z30" s="2270"/>
      <c r="AA30" s="2270"/>
      <c r="AB30" s="2270"/>
      <c r="AC30" s="1641"/>
      <c r="AD30" s="2270" t="str">
        <f>IF(TITLE_DATE_PR_CHANGE="",IF(TITLE_DATE_PR="","",TITLE_DATE_PR),TITLE_DATE_PR_CHANGE)</f>
        <v>46003.502546296295</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438</v>
      </c>
      <c r="T31" s="2256"/>
      <c r="U31" s="1378"/>
      <c r="V31" s="2257" t="str">
        <f>IF(TITLE_NUMBER_PR_CHANGE="",IF(TITLE_NUMBER_PR="","",TITLE_NUMBER_PR),TITLE_NUMBER_PR_CHANGE)</f>
        <v>№ 222</v>
      </c>
      <c r="W31" s="2257"/>
      <c r="X31" s="2257"/>
      <c r="Y31" s="2257"/>
      <c r="Z31" s="2257"/>
      <c r="AA31" s="2257"/>
      <c r="AB31" s="2257"/>
      <c r="AC31" s="1641"/>
      <c r="AD31" s="2257" t="str">
        <f>IF(TITLE_NUMBER_PR_CHANGE="",IF(TITLE_NUMBER_PR="","",TITLE_NUMBER_PR),TITLE_NUMBER_PR_CHANGE)</f>
        <v>№ 222</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44</v>
      </c>
      <c r="T32" s="2256"/>
      <c r="U32" s="1378"/>
      <c r="V32" s="2257" t="str">
        <f>IF(TITLE_IST_PUB_CHANGE="",IF(TITLE_IST_PUB="","",TITLE_IST_PUB),TITLE_IST_PUB_CHANGE)</f>
        <v>Официальный интернет-портал правовой информации http://pravo.gov.ru/ </v>
      </c>
      <c r="W32" s="2257"/>
      <c r="X32" s="2257"/>
      <c r="Y32" s="2257"/>
      <c r="Z32" s="2257"/>
      <c r="AA32" s="2257"/>
      <c r="AB32" s="2257"/>
      <c r="AC32" s="1641"/>
      <c r="AD32" s="2257" t="str">
        <f>IF(TITLE_IST_PUB_CHANGE="",IF(TITLE_IST_PUB="","",TITLE_IST_PUB),TITLE_IST_PUB_CHANGE)</f>
        <v>Официальный интернет-портал правовой информации http://pravo.gov.ru/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439</v>
      </c>
      <c r="T34" s="2256"/>
      <c r="U34" s="1378"/>
      <c r="V34" s="2270" t="str">
        <f>IF(TITLE_DATE_PR_CHANGE="",IF(TITLE_DATE_PR="","",TITLE_DATE_PR),TITLE_DATE_PR_CHANGE)</f>
        <v>46003.502546296295</v>
      </c>
      <c r="W34" s="2270"/>
      <c r="X34" s="2270"/>
      <c r="Y34" s="2270"/>
      <c r="Z34" s="2270"/>
      <c r="AA34" s="2270"/>
      <c r="AB34" s="2270"/>
      <c r="AC34" s="1641"/>
      <c r="AD34" s="2270" t="str">
        <f>IF(TITLE_DATE_PR_CHANGE="",IF(TITLE_DATE_PR="","",TITLE_DATE_PR),TITLE_DATE_PR_CHANGE)</f>
        <v>46003.502546296295</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440</v>
      </c>
      <c r="T35" s="2256"/>
      <c r="U35" s="1378"/>
      <c r="V35" s="2257" t="str">
        <f>IF(TITLE_NUMBER_PR_CHANGE="",IF(TITLE_NUMBER_PR="","",TITLE_NUMBER_PR),TITLE_NUMBER_PR_CHANGE)</f>
        <v>№ 222</v>
      </c>
      <c r="W35" s="2257"/>
      <c r="X35" s="2257"/>
      <c r="Y35" s="2257"/>
      <c r="Z35" s="2257"/>
      <c r="AA35" s="2257"/>
      <c r="AB35" s="2257"/>
      <c r="AC35" s="1641"/>
      <c r="AD35" s="2257" t="str">
        <f>IF(TITLE_NUMBER_PR_CHANGE="",IF(TITLE_NUMBER_PR="","",TITLE_NUMBER_PR),TITLE_NUMBER_PR_CHANGE)</f>
        <v>№ 222</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441</v>
      </c>
      <c r="AD36" s="1641"/>
      <c r="AE36" s="1641"/>
      <c r="AF36" s="1641"/>
      <c r="AG36" s="1641"/>
      <c r="AH36" s="1641"/>
      <c r="AI36" s="1641"/>
      <c r="AJ36" s="1641"/>
      <c r="AK36" s="1648" t="s">
        <v>441</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316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317</v>
      </c>
      <c r="AS38" s="1637">
        <v>14</v>
      </c>
    </row>
    <row customHeight="1" ht="14.699999999999998">
      <c r="Q39" s="382"/>
      <c r="R39" s="382"/>
      <c r="S39" s="2279" t="s">
        <v>89</v>
      </c>
      <c r="T39" s="2215" t="s">
        <v>442</v>
      </c>
      <c r="U39" s="343"/>
      <c r="V39" s="2280" t="s">
        <v>443</v>
      </c>
      <c r="W39" s="2281"/>
      <c r="X39" s="2281"/>
      <c r="Y39" s="2281"/>
      <c r="Z39" s="2281"/>
      <c r="AA39" s="2281"/>
      <c r="AB39" s="2282"/>
      <c r="AC39" s="2283" t="s">
        <v>444</v>
      </c>
      <c r="AD39" s="2280" t="s">
        <v>443</v>
      </c>
      <c r="AE39" s="2281"/>
      <c r="AF39" s="2281"/>
      <c r="AG39" s="2281"/>
      <c r="AH39" s="2281"/>
      <c r="AI39" s="2281"/>
      <c r="AJ39" s="2282"/>
      <c r="AK39" s="2283" t="s">
        <v>445</v>
      </c>
      <c r="AL39" s="2286" t="s">
        <v>446</v>
      </c>
      <c r="AM39" s="2133"/>
      <c r="AS39" s="1637">
        <v>14</v>
      </c>
    </row>
    <row customHeight="1" ht="35.699999999999996">
      <c r="Q40" s="382"/>
      <c r="R40" s="382"/>
      <c r="S40" s="2279"/>
      <c r="T40" s="2215"/>
      <c r="U40" s="1037"/>
      <c r="V40" s="2266" t="s">
        <v>447</v>
      </c>
      <c r="W40" s="2289" t="s">
        <v>448</v>
      </c>
      <c r="X40" s="2268" t="s">
        <v>449</v>
      </c>
      <c r="Y40" s="2269"/>
      <c r="Z40" s="2268" t="s">
        <v>462</v>
      </c>
      <c r="AA40" s="2275"/>
      <c r="AB40" s="2269"/>
      <c r="AC40" s="2284"/>
      <c r="AD40" s="2266" t="s">
        <v>447</v>
      </c>
      <c r="AE40" s="2289" t="s">
        <v>448</v>
      </c>
      <c r="AF40" s="2268" t="s">
        <v>449</v>
      </c>
      <c r="AG40" s="2269"/>
      <c r="AH40" s="2268" t="s">
        <v>450</v>
      </c>
      <c r="AI40" s="2275"/>
      <c r="AJ40" s="2269"/>
      <c r="AK40" s="2284"/>
      <c r="AL40" s="2287"/>
      <c r="AM40" s="2133"/>
      <c r="AS40" s="1637">
        <v>34</v>
      </c>
    </row>
    <row customHeight="1" ht="35.699999999999996">
      <c r="A41" s="1272"/>
      <c r="B41" s="1272" t="s">
        <v>137</v>
      </c>
      <c r="C41" s="1272" t="s">
        <v>138</v>
      </c>
      <c r="D41" s="1272" t="s">
        <v>139</v>
      </c>
      <c r="E41" s="1316" t="s">
        <v>451</v>
      </c>
      <c r="F41" s="1316" t="s">
        <v>452</v>
      </c>
      <c r="G41" s="1316" t="s">
        <v>453</v>
      </c>
      <c r="H41" s="1316" t="s">
        <v>454</v>
      </c>
      <c r="I41" s="1316" t="s">
        <v>455</v>
      </c>
      <c r="J41" s="1316" t="s">
        <v>456</v>
      </c>
      <c r="K41" s="1316" t="s">
        <v>457</v>
      </c>
      <c r="L41" s="1316" t="s">
        <v>432</v>
      </c>
      <c r="Q41" s="382"/>
      <c r="R41" s="382"/>
      <c r="S41" s="2279"/>
      <c r="T41" s="2215"/>
      <c r="U41" s="308"/>
      <c r="V41" s="2267"/>
      <c r="W41" s="2290"/>
      <c r="X41" s="1944" t="s">
        <v>458</v>
      </c>
      <c r="Y41" s="1944" t="s">
        <v>459</v>
      </c>
      <c r="Z41" s="1944" t="s">
        <v>460</v>
      </c>
      <c r="AA41" s="2276" t="s">
        <v>461</v>
      </c>
      <c r="AB41" s="2277"/>
      <c r="AC41" s="2285"/>
      <c r="AD41" s="2267"/>
      <c r="AE41" s="2290"/>
      <c r="AF41" s="1944" t="s">
        <v>458</v>
      </c>
      <c r="AG41" s="1944" t="s">
        <v>459</v>
      </c>
      <c r="AH41" s="1944" t="s">
        <v>460</v>
      </c>
      <c r="AI41" s="2276" t="s">
        <v>461</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111</v>
      </c>
      <c r="T42" s="1261" t="s">
        <v>112</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212</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125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630"/>
      <c r="AP43" s="1630" t="str">
        <f>IF(T43="","",T43)</f>
        <v>Наименование тарифа</v>
      </c>
      <c r="AQ43" s="1630"/>
      <c r="AR43" s="1630"/>
      <c r="AS43" s="1637">
        <v>21</v>
      </c>
    </row>
    <row customHeight="1" ht="22.049999999999997">
      <c r="A44" s="1273" t="s">
        <v>212</v>
      </c>
      <c r="B44" s="1273" t="s">
        <v>213</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413</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414</v>
      </c>
      <c r="AO44" s="1630"/>
      <c r="AP44" s="1630" t="str">
        <f>IF(T44="","",T44)</f>
        <v>Территория действия тарифа</v>
      </c>
      <c r="AQ44" s="1630"/>
      <c r="AR44" s="1630"/>
      <c r="AS44" s="1637">
        <v>21</v>
      </c>
    </row>
    <row customHeight="1" ht="24">
      <c r="A45" s="1273" t="s">
        <v>212</v>
      </c>
      <c r="B45" s="1273" t="s">
        <v>213</v>
      </c>
      <c r="C45" s="1273" t="s">
        <v>214</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415</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416</v>
      </c>
      <c r="AO45" s="1630"/>
      <c r="AP45" s="1630" t="str">
        <f>IF(T45="","",T45)</f>
        <v>Наименование системы теплоснабжения </v>
      </c>
      <c r="AQ45" s="1630"/>
      <c r="AR45" s="1630"/>
      <c r="AS45" s="1637">
        <v>23</v>
      </c>
    </row>
    <row customHeight="1" ht="22.049999999999997">
      <c r="A46" s="1273" t="s">
        <v>212</v>
      </c>
      <c r="B46" s="1273" t="s">
        <v>213</v>
      </c>
      <c r="C46" s="1273" t="s">
        <v>214</v>
      </c>
      <c r="D46" s="1273" t="s">
        <v>215</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417</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418</v>
      </c>
      <c r="AO46" s="1630"/>
      <c r="AP46" s="1630" t="str">
        <f>IF(T46="","",T46)</f>
        <v>Источник тепловой энергии  </v>
      </c>
      <c r="AQ46" s="1630"/>
      <c r="AR46" s="1630"/>
      <c r="AS46" s="1637">
        <v>21</v>
      </c>
    </row>
    <row customHeight="1" ht="49.5">
      <c r="A47" s="1273" t="s">
        <v>212</v>
      </c>
      <c r="B47" s="1273" t="s">
        <v>213</v>
      </c>
      <c r="C47" s="1273" t="s">
        <v>214</v>
      </c>
      <c r="D47" s="1273" t="s">
        <v>215</v>
      </c>
      <c r="E47" s="2296"/>
      <c r="F47" s="2296"/>
      <c r="G47" s="2296"/>
      <c r="H47" s="2296"/>
      <c r="I47" s="2133" t="str">
        <f>S46&amp;".1"</f>
        <v>....1</v>
      </c>
      <c r="J47" s="1273"/>
      <c r="K47" s="1273"/>
      <c r="L47" s="1316" t="s">
        <v>419</v>
      </c>
      <c r="P47" s="2263">
        <v>1</v>
      </c>
      <c r="Q47" s="1960"/>
      <c r="R47" s="362"/>
      <c r="S47" s="1964" t="str">
        <f>$I47</f>
        <v>....1</v>
      </c>
      <c r="T47" s="291" t="s">
        <v>420</v>
      </c>
      <c r="U47" s="306"/>
      <c r="V47" s="2251"/>
      <c r="W47" s="2252"/>
      <c r="X47" s="2252"/>
      <c r="Y47" s="2252"/>
      <c r="Z47" s="2252"/>
      <c r="AA47" s="2252"/>
      <c r="AB47" s="2252"/>
      <c r="AC47" s="2253"/>
      <c r="AD47" s="2251"/>
      <c r="AE47" s="2252"/>
      <c r="AF47" s="2252"/>
      <c r="AG47" s="2252"/>
      <c r="AH47" s="2252"/>
      <c r="AI47" s="2252"/>
      <c r="AJ47" s="2252"/>
      <c r="AK47" s="2252"/>
      <c r="AL47" s="2253"/>
      <c r="AM47" s="1264" t="s">
        <v>421</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212</v>
      </c>
      <c r="B48" s="1273" t="s">
        <v>213</v>
      </c>
      <c r="C48" s="1273" t="s">
        <v>214</v>
      </c>
      <c r="D48" s="1273" t="s">
        <v>215</v>
      </c>
      <c r="E48" s="2296"/>
      <c r="F48" s="2296"/>
      <c r="G48" s="2296"/>
      <c r="H48" s="2296"/>
      <c r="I48" s="2107"/>
      <c r="J48" s="2133" t="str">
        <f>I47&amp;".1"</f>
        <v>....1.1</v>
      </c>
      <c r="K48" s="1273"/>
      <c r="L48" s="1316" t="s">
        <v>422</v>
      </c>
      <c r="P48" s="2263"/>
      <c r="Q48" s="2263">
        <v>1</v>
      </c>
      <c r="R48" s="363"/>
      <c r="S48" s="1964" t="str">
        <f>$J48</f>
        <v>....1.1</v>
      </c>
      <c r="T48" s="292" t="s">
        <v>423</v>
      </c>
      <c r="U48" s="306"/>
      <c r="V48" s="2251"/>
      <c r="W48" s="2252"/>
      <c r="X48" s="2252"/>
      <c r="Y48" s="2252"/>
      <c r="Z48" s="2252"/>
      <c r="AA48" s="2252"/>
      <c r="AB48" s="2252"/>
      <c r="AC48" s="2253"/>
      <c r="AD48" s="2251"/>
      <c r="AE48" s="2252"/>
      <c r="AF48" s="2252"/>
      <c r="AG48" s="2252"/>
      <c r="AH48" s="2252"/>
      <c r="AI48" s="2252"/>
      <c r="AJ48" s="2252"/>
      <c r="AK48" s="2252"/>
      <c r="AL48" s="2253"/>
      <c r="AM48" s="1264" t="s">
        <v>424</v>
      </c>
      <c r="AO48" s="1630"/>
      <c r="AP48" s="1630" t="str">
        <f>IF(T48="","",T48)</f>
        <v>Группа потребителей</v>
      </c>
      <c r="AQ48" s="1630"/>
      <c r="AR48" s="1630"/>
      <c r="AS48" s="1637">
        <v>21</v>
      </c>
    </row>
    <row customHeight="1" ht="22.049999999999997">
      <c r="A49" s="1273" t="s">
        <v>212</v>
      </c>
      <c r="B49" s="1273" t="s">
        <v>213</v>
      </c>
      <c r="C49" s="1273" t="s">
        <v>214</v>
      </c>
      <c r="D49" s="1273" t="s">
        <v>215</v>
      </c>
      <c r="E49" s="2296"/>
      <c r="F49" s="2296"/>
      <c r="G49" s="2296"/>
      <c r="H49" s="2296"/>
      <c r="I49" s="2107"/>
      <c r="J49" s="2107"/>
      <c r="K49" s="2133" t="str">
        <f>J48&amp;".1"</f>
        <v>....1.1.1</v>
      </c>
      <c r="L49" s="1316" t="s">
        <v>425</v>
      </c>
      <c r="P49" s="2263"/>
      <c r="Q49" s="2263"/>
      <c r="R49" s="363">
        <v>1</v>
      </c>
      <c r="S49" s="1964" t="str">
        <f>$K49</f>
        <v>....1.1.1</v>
      </c>
      <c r="T49" s="1353"/>
      <c r="U49" s="306"/>
      <c r="V49" s="757"/>
      <c r="W49" s="331"/>
      <c r="X49" s="757"/>
      <c r="Y49" s="1263"/>
      <c r="Z49" s="2271"/>
      <c r="AA49" s="2113" t="s">
        <v>62</v>
      </c>
      <c r="AB49" s="2271"/>
      <c r="AC49" s="2113" t="s">
        <v>62</v>
      </c>
      <c r="AD49" s="757"/>
      <c r="AE49" s="331"/>
      <c r="AF49" s="757"/>
      <c r="AG49" s="1263"/>
      <c r="AH49" s="2271"/>
      <c r="AI49" s="2113" t="s">
        <v>62</v>
      </c>
      <c r="AJ49" s="2293"/>
      <c r="AK49" s="2113" t="s">
        <v>62</v>
      </c>
      <c r="AL49" s="1354"/>
      <c r="AM49" s="2259" t="s">
        <v>426</v>
      </c>
      <c r="AN49" s="1642">
        <f>STRCHECKDATE(V50:AL50)</f>
      </c>
      <c r="AO49" s="1630"/>
      <c r="AP49" s="1630" t="str">
        <f>IF(T49="","",T49)</f>
        <v/>
      </c>
      <c r="AQ49" s="1630"/>
      <c r="AR49" s="1630"/>
      <c r="AS49" s="1637">
        <v>21</v>
      </c>
    </row>
    <row customHeight="1" ht="1.05">
      <c r="A50" s="1273" t="s">
        <v>212</v>
      </c>
      <c r="B50" s="1273" t="s">
        <v>213</v>
      </c>
      <c r="C50" s="1273" t="s">
        <v>214</v>
      </c>
      <c r="D50" s="1273" t="s">
        <v>215</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212</v>
      </c>
      <c r="B51" s="1273" t="s">
        <v>213</v>
      </c>
      <c r="C51" s="1273" t="s">
        <v>214</v>
      </c>
      <c r="D51" s="1273" t="s">
        <v>215</v>
      </c>
      <c r="E51" s="2296"/>
      <c r="F51" s="2296"/>
      <c r="G51" s="2296"/>
      <c r="H51" s="2296"/>
      <c r="I51" s="2107"/>
      <c r="J51" s="2133"/>
      <c r="K51" s="1273"/>
      <c r="L51" s="1316"/>
      <c r="P51" s="2263"/>
      <c r="Q51" s="2263"/>
      <c r="R51" s="362"/>
      <c r="S51" s="1284"/>
      <c r="T51" s="294" t="s">
        <v>427</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212</v>
      </c>
      <c r="B52" s="1273" t="s">
        <v>213</v>
      </c>
      <c r="C52" s="1273" t="s">
        <v>214</v>
      </c>
      <c r="D52" s="1273" t="s">
        <v>215</v>
      </c>
      <c r="E52" s="2296"/>
      <c r="F52" s="2296"/>
      <c r="G52" s="2296"/>
      <c r="H52" s="2296"/>
      <c r="I52" s="2133"/>
      <c r="J52" s="1273"/>
      <c r="K52" s="1273"/>
      <c r="L52" s="1316"/>
      <c r="P52" s="2263"/>
      <c r="Q52" s="1960"/>
      <c r="R52" s="362"/>
      <c r="S52" s="1284"/>
      <c r="T52" s="293" t="s">
        <v>428</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212</v>
      </c>
      <c r="B53" s="1273" t="s">
        <v>213</v>
      </c>
      <c r="C53" s="1273" t="s">
        <v>214</v>
      </c>
      <c r="D53" s="1273" t="s">
        <v>215</v>
      </c>
      <c r="E53" s="2296"/>
      <c r="F53" s="2296"/>
      <c r="G53" s="2296"/>
      <c r="H53" s="2295"/>
      <c r="I53" s="1273"/>
      <c r="J53" s="1273"/>
      <c r="K53" s="1273"/>
      <c r="L53" s="1316"/>
      <c r="M53" s="1616"/>
      <c r="N53" s="1616"/>
      <c r="O53" s="1641"/>
      <c r="P53" s="366"/>
      <c r="Q53" s="381"/>
      <c r="R53" s="361"/>
      <c r="S53" s="1284"/>
      <c r="T53" s="371" t="s">
        <v>429</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4.2">
      <c r="A54" s="1381" t="s">
        <v>212</v>
      </c>
      <c r="B54" s="1381" t="s">
        <v>213</v>
      </c>
      <c r="C54" s="1381" t="s">
        <v>214</v>
      </c>
      <c r="D54" s="1380"/>
      <c r="E54" s="2296"/>
      <c r="F54" s="2296"/>
      <c r="G54" s="2295"/>
      <c r="H54" s="1380"/>
      <c r="I54" s="1380"/>
      <c r="J54" s="1380"/>
      <c r="K54" s="1380"/>
      <c r="L54" s="1383"/>
      <c r="M54" s="1384"/>
      <c r="N54" s="1384"/>
      <c r="O54" s="357"/>
      <c r="P54" s="1322"/>
      <c r="Q54" s="1323"/>
      <c r="R54" s="1322"/>
      <c r="S54" s="1328"/>
      <c r="T54" s="1331" t="s">
        <v>430</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4</v>
      </c>
    </row>
    <row s="1648" customFormat="1" customHeight="1" ht="4.2">
      <c r="A55" s="1381" t="s">
        <v>212</v>
      </c>
      <c r="B55" s="1381" t="s">
        <v>213</v>
      </c>
      <c r="C55" s="1380"/>
      <c r="D55" s="1380"/>
      <c r="E55" s="2296"/>
      <c r="F55" s="2295"/>
      <c r="G55" s="1380"/>
      <c r="H55" s="1380"/>
      <c r="I55" s="1380"/>
      <c r="J55" s="1380"/>
      <c r="K55" s="1380"/>
      <c r="L55" s="1383"/>
      <c r="M55" s="1385"/>
      <c r="N55" s="1385"/>
      <c r="O55" s="357"/>
      <c r="P55" s="1322"/>
      <c r="Q55" s="1323"/>
      <c r="R55" s="1322"/>
      <c r="S55" s="1328"/>
      <c r="T55" s="1331" t="s">
        <v>251</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4</v>
      </c>
    </row>
    <row s="1648" customFormat="1" customHeight="1" ht="4.2">
      <c r="A56" s="1381" t="s">
        <v>212</v>
      </c>
      <c r="B56" s="1381"/>
      <c r="C56" s="1381"/>
      <c r="D56" s="1381"/>
      <c r="E56" s="2295"/>
      <c r="F56" s="1381"/>
      <c r="G56" s="1381"/>
      <c r="H56" s="1381"/>
      <c r="I56" s="1381"/>
      <c r="J56" s="1381"/>
      <c r="K56" s="1381"/>
      <c r="L56" s="1387"/>
      <c r="M56" s="1385"/>
      <c r="N56" s="1385"/>
      <c r="O56" s="357"/>
      <c r="P56" s="386"/>
      <c r="Q56" s="1350"/>
      <c r="R56" s="386"/>
      <c r="S56" s="1328"/>
      <c r="T56" s="1331" t="s">
        <v>252</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4</v>
      </c>
    </row>
    <row s="1648" customFormat="1" customHeight="1" ht="4.2">
      <c r="A57" s="1380"/>
      <c r="B57" s="1380"/>
      <c r="C57" s="1380"/>
      <c r="D57" s="1380"/>
      <c r="E57" s="1381"/>
      <c r="F57" s="1380"/>
      <c r="G57" s="1380"/>
      <c r="H57" s="1380"/>
      <c r="I57" s="1380"/>
      <c r="J57" s="1380"/>
      <c r="K57" s="1380"/>
      <c r="L57" s="1383"/>
      <c r="M57" s="1385"/>
      <c r="N57" s="1385"/>
      <c r="O57" s="357"/>
      <c r="P57" s="1322"/>
      <c r="Q57" s="1323"/>
      <c r="R57" s="1322"/>
      <c r="S57" s="1328"/>
      <c r="T57" s="1331" t="s">
        <v>264</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4</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83</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B9ECD2-8A47-63F3-49DE-FF63BA9E18D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125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412</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413</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414</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415</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416</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417</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418</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419</v>
      </c>
      <c r="M6" s="1641"/>
      <c r="P6" s="2263">
        <v>1</v>
      </c>
      <c r="Q6" s="1960"/>
      <c r="R6" s="362"/>
      <c r="S6" s="1964">
        <f>$I6</f>
      </c>
      <c r="T6" s="291" t="s">
        <v>420</v>
      </c>
      <c r="U6" s="306"/>
      <c r="V6" s="2251"/>
      <c r="W6" s="2252"/>
      <c r="X6" s="2252"/>
      <c r="Y6" s="2252"/>
      <c r="Z6" s="2252"/>
      <c r="AA6" s="2252"/>
      <c r="AB6" s="2252"/>
      <c r="AC6" s="2253"/>
      <c r="AD6" s="2251"/>
      <c r="AE6" s="2252"/>
      <c r="AF6" s="2252"/>
      <c r="AG6" s="2252"/>
      <c r="AH6" s="2252"/>
      <c r="AI6" s="2252"/>
      <c r="AJ6" s="2252"/>
      <c r="AK6" s="2252"/>
      <c r="AL6" s="2253"/>
      <c r="AM6" s="1264" t="s">
        <v>421</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422</v>
      </c>
      <c r="M7" s="1641"/>
      <c r="N7" s="1637"/>
      <c r="P7" s="2263"/>
      <c r="Q7" s="2263">
        <v>1</v>
      </c>
      <c r="R7" s="363"/>
      <c r="S7" s="1964">
        <f>$J7</f>
      </c>
      <c r="T7" s="292" t="s">
        <v>423</v>
      </c>
      <c r="U7" s="306"/>
      <c r="V7" s="2251"/>
      <c r="W7" s="2252"/>
      <c r="X7" s="2252"/>
      <c r="Y7" s="2252"/>
      <c r="Z7" s="2252"/>
      <c r="AA7" s="2252"/>
      <c r="AB7" s="2252"/>
      <c r="AC7" s="2253"/>
      <c r="AD7" s="2251"/>
      <c r="AE7" s="2252"/>
      <c r="AF7" s="2252"/>
      <c r="AG7" s="2252"/>
      <c r="AH7" s="2252"/>
      <c r="AI7" s="2252"/>
      <c r="AJ7" s="2252"/>
      <c r="AK7" s="2252"/>
      <c r="AL7" s="2253"/>
      <c r="AM7" s="1264" t="s">
        <v>424</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425</v>
      </c>
      <c r="M8" s="1641"/>
      <c r="N8" s="1637"/>
      <c r="O8" s="1637"/>
      <c r="P8" s="2263"/>
      <c r="Q8" s="2263"/>
      <c r="R8" s="363">
        <v>1</v>
      </c>
      <c r="S8" s="1964">
        <f>$K8</f>
      </c>
      <c r="T8" s="1353"/>
      <c r="U8" s="306"/>
      <c r="V8" s="757"/>
      <c r="W8" s="331"/>
      <c r="X8" s="757"/>
      <c r="Y8" s="1263"/>
      <c r="Z8" s="2271"/>
      <c r="AA8" s="2113" t="s">
        <v>62</v>
      </c>
      <c r="AB8" s="2271"/>
      <c r="AC8" s="2113" t="s">
        <v>62</v>
      </c>
      <c r="AD8" s="757"/>
      <c r="AE8" s="331"/>
      <c r="AF8" s="757"/>
      <c r="AG8" s="1263"/>
      <c r="AH8" s="2271"/>
      <c r="AI8" s="2113" t="s">
        <v>62</v>
      </c>
      <c r="AJ8" s="2271"/>
      <c r="AK8" s="2113" t="s">
        <v>62</v>
      </c>
      <c r="AL8" s="331"/>
      <c r="AM8" s="2259" t="s">
        <v>426</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427</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428</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429</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980"/>
      <c r="B13" s="1980"/>
      <c r="C13" s="1980"/>
      <c r="D13" s="1980"/>
      <c r="E13" s="2296"/>
      <c r="F13" s="2296"/>
      <c r="G13" s="2295"/>
      <c r="H13" s="1980"/>
      <c r="I13" s="1980"/>
      <c r="J13" s="1980"/>
      <c r="K13" s="1980"/>
      <c r="L13" s="1386"/>
      <c r="M13" s="1616"/>
      <c r="N13" s="1616"/>
      <c r="O13" s="1641"/>
      <c r="P13" s="1322"/>
      <c r="Q13" s="1323"/>
      <c r="R13" s="1322"/>
      <c r="S13" s="1324"/>
      <c r="T13" s="1325" t="s">
        <v>430</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980"/>
      <c r="B14" s="1980"/>
      <c r="C14" s="1980"/>
      <c r="D14" s="1980"/>
      <c r="E14" s="2296"/>
      <c r="F14" s="2295"/>
      <c r="G14" s="1980"/>
      <c r="H14" s="1980"/>
      <c r="I14" s="1980"/>
      <c r="J14" s="1980"/>
      <c r="K14" s="1980"/>
      <c r="L14" s="1386"/>
      <c r="M14" s="1981"/>
      <c r="N14" s="1981"/>
      <c r="O14" s="1641"/>
      <c r="P14" s="1322"/>
      <c r="Q14" s="1323"/>
      <c r="R14" s="1322"/>
      <c r="S14" s="1328"/>
      <c r="T14" s="1329" t="s">
        <v>251</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980"/>
      <c r="B15" s="1980"/>
      <c r="C15" s="1980"/>
      <c r="D15" s="1980"/>
      <c r="E15" s="2295"/>
      <c r="F15" s="1980"/>
      <c r="G15" s="1980"/>
      <c r="H15" s="1980"/>
      <c r="I15" s="1980"/>
      <c r="J15" s="1980"/>
      <c r="K15" s="1980"/>
      <c r="L15" s="1386"/>
      <c r="M15" s="1981"/>
      <c r="N15" s="1981"/>
      <c r="O15" s="1641"/>
      <c r="P15" s="1322"/>
      <c r="Q15" s="1323"/>
      <c r="R15" s="1322"/>
      <c r="S15" s="1328"/>
      <c r="T15" s="1331" t="s">
        <v>252</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62</v>
      </c>
      <c r="AJ17" s="2273"/>
      <c r="AK17" s="2274" t="s">
        <v>62</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431</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432</v>
      </c>
      <c r="P22" s="1368"/>
      <c r="Q22" s="1377"/>
      <c r="R22" s="1377"/>
      <c r="S22" s="735"/>
      <c r="T22" s="1372" t="s">
        <v>433</v>
      </c>
      <c r="AA22" s="601" t="s">
        <v>434</v>
      </c>
      <c r="AC22" s="601" t="s">
        <v>435</v>
      </c>
      <c r="AD22" s="1372" t="s">
        <v>433</v>
      </c>
      <c r="AI22" s="601" t="s">
        <v>436</v>
      </c>
      <c r="AK22" s="601" t="s">
        <v>435</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АО «ДГК» СП «Нерюнгринская ГРЭС»</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Государственный комитет по ценовой политике Республики Саха (Якутия)</v>
      </c>
      <c r="W29" s="2257"/>
      <c r="X29" s="2257"/>
      <c r="Y29" s="2257"/>
      <c r="Z29" s="2257"/>
      <c r="AA29" s="2257"/>
      <c r="AB29" s="2257"/>
      <c r="AC29" s="1641"/>
      <c r="AD29" s="2257" t="str">
        <f>IF(TITLE_NAME_OR_PR_CHANGE="",IF(TITLE_NAME_OR_PR="","",TITLE_NAME_OR_PR),TITLE_NAME_OR_PR_CHANGE)</f>
        <v>Государственный комитет по ценовой политике Республики Саха (Якутия)</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437</v>
      </c>
      <c r="T30" s="2256"/>
      <c r="U30" s="1378"/>
      <c r="V30" s="2270" t="str">
        <f>IF(TITLE_DATE_PR_CHANGE="",IF(TITLE_DATE_PR="","",TITLE_DATE_PR),TITLE_DATE_PR_CHANGE)</f>
        <v>46003.502546296295</v>
      </c>
      <c r="W30" s="2270"/>
      <c r="X30" s="2270"/>
      <c r="Y30" s="2270"/>
      <c r="Z30" s="2270"/>
      <c r="AA30" s="2270"/>
      <c r="AB30" s="2270"/>
      <c r="AC30" s="1641"/>
      <c r="AD30" s="2270" t="str">
        <f>IF(TITLE_DATE_PR_CHANGE="",IF(TITLE_DATE_PR="","",TITLE_DATE_PR),TITLE_DATE_PR_CHANGE)</f>
        <v>46003.502546296295</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438</v>
      </c>
      <c r="T31" s="2256"/>
      <c r="U31" s="1378"/>
      <c r="V31" s="2257" t="str">
        <f>IF(TITLE_NUMBER_PR_CHANGE="",IF(TITLE_NUMBER_PR="","",TITLE_NUMBER_PR),TITLE_NUMBER_PR_CHANGE)</f>
        <v>№ 222</v>
      </c>
      <c r="W31" s="2257"/>
      <c r="X31" s="2257"/>
      <c r="Y31" s="2257"/>
      <c r="Z31" s="2257"/>
      <c r="AA31" s="2257"/>
      <c r="AB31" s="2257"/>
      <c r="AC31" s="1641"/>
      <c r="AD31" s="2257" t="str">
        <f>IF(TITLE_NUMBER_PR_CHANGE="",IF(TITLE_NUMBER_PR="","",TITLE_NUMBER_PR),TITLE_NUMBER_PR_CHANGE)</f>
        <v>№ 222</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44</v>
      </c>
      <c r="T32" s="2256"/>
      <c r="U32" s="1378"/>
      <c r="V32" s="2257" t="str">
        <f>IF(TITLE_IST_PUB_CHANGE="",IF(TITLE_IST_PUB="","",TITLE_IST_PUB),TITLE_IST_PUB_CHANGE)</f>
        <v>Официальный интернет-портал правовой информации http://pravo.gov.ru/ </v>
      </c>
      <c r="W32" s="2257"/>
      <c r="X32" s="2257"/>
      <c r="Y32" s="2257"/>
      <c r="Z32" s="2257"/>
      <c r="AA32" s="2257"/>
      <c r="AB32" s="2257"/>
      <c r="AC32" s="1641"/>
      <c r="AD32" s="2257" t="str">
        <f>IF(TITLE_IST_PUB_CHANGE="",IF(TITLE_IST_PUB="","",TITLE_IST_PUB),TITLE_IST_PUB_CHANGE)</f>
        <v>Официальный интернет-портал правовой информации http://pravo.gov.ru/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439</v>
      </c>
      <c r="T34" s="2256"/>
      <c r="U34" s="1378"/>
      <c r="V34" s="2270" t="str">
        <f>IF(TITLE_DATE_PR_CHANGE="",IF(TITLE_DATE_PR="","",TITLE_DATE_PR),TITLE_DATE_PR_CHANGE)</f>
        <v>46003.502546296295</v>
      </c>
      <c r="W34" s="2270"/>
      <c r="X34" s="2270"/>
      <c r="Y34" s="2270"/>
      <c r="Z34" s="2270"/>
      <c r="AA34" s="2270"/>
      <c r="AB34" s="2270"/>
      <c r="AC34" s="1641"/>
      <c r="AD34" s="2270" t="str">
        <f>IF(TITLE_DATE_PR_CHANGE="",IF(TITLE_DATE_PR="","",TITLE_DATE_PR),TITLE_DATE_PR_CHANGE)</f>
        <v>46003.502546296295</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440</v>
      </c>
      <c r="T35" s="2256"/>
      <c r="U35" s="1378"/>
      <c r="V35" s="2257" t="str">
        <f>IF(TITLE_NUMBER_PR_CHANGE="",IF(TITLE_NUMBER_PR="","",TITLE_NUMBER_PR),TITLE_NUMBER_PR_CHANGE)</f>
        <v>№ 222</v>
      </c>
      <c r="W35" s="2257"/>
      <c r="X35" s="2257"/>
      <c r="Y35" s="2257"/>
      <c r="Z35" s="2257"/>
      <c r="AA35" s="2257"/>
      <c r="AB35" s="2257"/>
      <c r="AC35" s="1641"/>
      <c r="AD35" s="2257" t="str">
        <f>IF(TITLE_NUMBER_PR_CHANGE="",IF(TITLE_NUMBER_PR="","",TITLE_NUMBER_PR),TITLE_NUMBER_PR_CHANGE)</f>
        <v>№ 222</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441</v>
      </c>
      <c r="AD36" s="1641"/>
      <c r="AE36" s="1641"/>
      <c r="AF36" s="1641"/>
      <c r="AG36" s="1641"/>
      <c r="AH36" s="1641"/>
      <c r="AI36" s="1641"/>
      <c r="AJ36" s="1641"/>
      <c r="AK36" s="1648" t="s">
        <v>441</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316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317</v>
      </c>
      <c r="AS38" s="1637">
        <v>14</v>
      </c>
    </row>
    <row customHeight="1" ht="14.699999999999998">
      <c r="Q39" s="382"/>
      <c r="R39" s="382"/>
      <c r="S39" s="2279" t="s">
        <v>89</v>
      </c>
      <c r="T39" s="2215" t="s">
        <v>442</v>
      </c>
      <c r="U39" s="343"/>
      <c r="V39" s="2280" t="s">
        <v>443</v>
      </c>
      <c r="W39" s="2281"/>
      <c r="X39" s="2281"/>
      <c r="Y39" s="2281"/>
      <c r="Z39" s="2281"/>
      <c r="AA39" s="2281"/>
      <c r="AB39" s="2282"/>
      <c r="AC39" s="2283" t="s">
        <v>444</v>
      </c>
      <c r="AD39" s="2280" t="s">
        <v>443</v>
      </c>
      <c r="AE39" s="2281"/>
      <c r="AF39" s="2281"/>
      <c r="AG39" s="2281"/>
      <c r="AH39" s="2281"/>
      <c r="AI39" s="2281"/>
      <c r="AJ39" s="2282"/>
      <c r="AK39" s="2283" t="s">
        <v>445</v>
      </c>
      <c r="AL39" s="2286" t="s">
        <v>446</v>
      </c>
      <c r="AM39" s="2133"/>
      <c r="AS39" s="1637">
        <v>14</v>
      </c>
    </row>
    <row customHeight="1" ht="35.699999999999996">
      <c r="Q40" s="382"/>
      <c r="R40" s="382"/>
      <c r="S40" s="2279"/>
      <c r="T40" s="2215"/>
      <c r="U40" s="1037"/>
      <c r="V40" s="2266" t="s">
        <v>447</v>
      </c>
      <c r="W40" s="2289" t="s">
        <v>448</v>
      </c>
      <c r="X40" s="2268" t="s">
        <v>449</v>
      </c>
      <c r="Y40" s="2269"/>
      <c r="Z40" s="2268" t="s">
        <v>462</v>
      </c>
      <c r="AA40" s="2275"/>
      <c r="AB40" s="2269"/>
      <c r="AC40" s="2284"/>
      <c r="AD40" s="2266" t="s">
        <v>447</v>
      </c>
      <c r="AE40" s="2289" t="s">
        <v>448</v>
      </c>
      <c r="AF40" s="2268" t="s">
        <v>449</v>
      </c>
      <c r="AG40" s="2269"/>
      <c r="AH40" s="2268" t="s">
        <v>450</v>
      </c>
      <c r="AI40" s="2275"/>
      <c r="AJ40" s="2269"/>
      <c r="AK40" s="2284"/>
      <c r="AL40" s="2287"/>
      <c r="AM40" s="2133"/>
      <c r="AS40" s="1637">
        <v>34</v>
      </c>
    </row>
    <row customHeight="1" ht="35.699999999999996">
      <c r="A41" s="1272"/>
      <c r="B41" s="1272" t="s">
        <v>137</v>
      </c>
      <c r="C41" s="1272" t="s">
        <v>138</v>
      </c>
      <c r="D41" s="1272" t="s">
        <v>139</v>
      </c>
      <c r="E41" s="1316" t="s">
        <v>451</v>
      </c>
      <c r="F41" s="1316" t="s">
        <v>452</v>
      </c>
      <c r="G41" s="1316" t="s">
        <v>453</v>
      </c>
      <c r="H41" s="1316" t="s">
        <v>454</v>
      </c>
      <c r="I41" s="1316" t="s">
        <v>455</v>
      </c>
      <c r="J41" s="1316" t="s">
        <v>456</v>
      </c>
      <c r="K41" s="1316" t="s">
        <v>457</v>
      </c>
      <c r="L41" s="1316" t="s">
        <v>432</v>
      </c>
      <c r="Q41" s="382"/>
      <c r="R41" s="382"/>
      <c r="S41" s="2279"/>
      <c r="T41" s="2215"/>
      <c r="U41" s="308"/>
      <c r="V41" s="2267"/>
      <c r="W41" s="2290"/>
      <c r="X41" s="1944" t="s">
        <v>458</v>
      </c>
      <c r="Y41" s="1944" t="s">
        <v>459</v>
      </c>
      <c r="Z41" s="1944" t="s">
        <v>460</v>
      </c>
      <c r="AA41" s="2276" t="s">
        <v>461</v>
      </c>
      <c r="AB41" s="2277"/>
      <c r="AC41" s="2285"/>
      <c r="AD41" s="2267"/>
      <c r="AE41" s="2290"/>
      <c r="AF41" s="1944" t="s">
        <v>458</v>
      </c>
      <c r="AG41" s="1944" t="s">
        <v>459</v>
      </c>
      <c r="AH41" s="1944" t="s">
        <v>460</v>
      </c>
      <c r="AI41" s="2276" t="s">
        <v>461</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111</v>
      </c>
      <c r="T42" s="1261" t="s">
        <v>112</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212</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125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630"/>
      <c r="AP43" s="1630" t="str">
        <f>IF(T43="","",T43)</f>
        <v>Наименование тарифа</v>
      </c>
      <c r="AQ43" s="1630"/>
      <c r="AR43" s="1630"/>
      <c r="AS43" s="1637">
        <v>21</v>
      </c>
    </row>
    <row customHeight="1" ht="22.049999999999997">
      <c r="A44" s="1273" t="s">
        <v>212</v>
      </c>
      <c r="B44" s="1273" t="s">
        <v>213</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413</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414</v>
      </c>
      <c r="AO44" s="1630"/>
      <c r="AP44" s="1630" t="str">
        <f>IF(T44="","",T44)</f>
        <v>Территория действия тарифа</v>
      </c>
      <c r="AQ44" s="1630"/>
      <c r="AR44" s="1630"/>
      <c r="AS44" s="1637">
        <v>21</v>
      </c>
    </row>
    <row customHeight="1" ht="24">
      <c r="A45" s="1273" t="s">
        <v>212</v>
      </c>
      <c r="B45" s="1273" t="s">
        <v>213</v>
      </c>
      <c r="C45" s="1273" t="s">
        <v>214</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415</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416</v>
      </c>
      <c r="AO45" s="1630"/>
      <c r="AP45" s="1630" t="str">
        <f>IF(T45="","",T45)</f>
        <v>Наименование системы теплоснабжения </v>
      </c>
      <c r="AQ45" s="1630"/>
      <c r="AR45" s="1630"/>
      <c r="AS45" s="1637">
        <v>23</v>
      </c>
    </row>
    <row customHeight="1" ht="22.049999999999997">
      <c r="A46" s="1273" t="s">
        <v>212</v>
      </c>
      <c r="B46" s="1273" t="s">
        <v>213</v>
      </c>
      <c r="C46" s="1273" t="s">
        <v>214</v>
      </c>
      <c r="D46" s="1273" t="s">
        <v>215</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417</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418</v>
      </c>
      <c r="AO46" s="1630"/>
      <c r="AP46" s="1630" t="str">
        <f>IF(T46="","",T46)</f>
        <v>Источник тепловой энергии  </v>
      </c>
      <c r="AQ46" s="1630"/>
      <c r="AR46" s="1630"/>
      <c r="AS46" s="1637">
        <v>21</v>
      </c>
    </row>
    <row customHeight="1" ht="49.5">
      <c r="A47" s="1273" t="s">
        <v>212</v>
      </c>
      <c r="B47" s="1273" t="s">
        <v>213</v>
      </c>
      <c r="C47" s="1273" t="s">
        <v>214</v>
      </c>
      <c r="D47" s="1273" t="s">
        <v>215</v>
      </c>
      <c r="E47" s="2296"/>
      <c r="F47" s="2296"/>
      <c r="G47" s="2296"/>
      <c r="H47" s="2296"/>
      <c r="I47" s="2133" t="str">
        <f>S46&amp;".1"</f>
        <v>....1</v>
      </c>
      <c r="J47" s="1273"/>
      <c r="K47" s="1273"/>
      <c r="L47" s="1316" t="s">
        <v>419</v>
      </c>
      <c r="P47" s="2263">
        <v>1</v>
      </c>
      <c r="Q47" s="1960"/>
      <c r="R47" s="362"/>
      <c r="S47" s="1964" t="str">
        <f>$I47</f>
        <v>....1</v>
      </c>
      <c r="T47" s="291" t="s">
        <v>420</v>
      </c>
      <c r="U47" s="306"/>
      <c r="V47" s="2251"/>
      <c r="W47" s="2252"/>
      <c r="X47" s="2252"/>
      <c r="Y47" s="2252"/>
      <c r="Z47" s="2252"/>
      <c r="AA47" s="2252"/>
      <c r="AB47" s="2252"/>
      <c r="AC47" s="2253"/>
      <c r="AD47" s="2251"/>
      <c r="AE47" s="2252"/>
      <c r="AF47" s="2252"/>
      <c r="AG47" s="2252"/>
      <c r="AH47" s="2252"/>
      <c r="AI47" s="2252"/>
      <c r="AJ47" s="2252"/>
      <c r="AK47" s="2252"/>
      <c r="AL47" s="2253"/>
      <c r="AM47" s="1264" t="s">
        <v>421</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212</v>
      </c>
      <c r="B48" s="1273" t="s">
        <v>213</v>
      </c>
      <c r="C48" s="1273" t="s">
        <v>214</v>
      </c>
      <c r="D48" s="1273" t="s">
        <v>215</v>
      </c>
      <c r="E48" s="2296"/>
      <c r="F48" s="2296"/>
      <c r="G48" s="2296"/>
      <c r="H48" s="2296"/>
      <c r="I48" s="2107"/>
      <c r="J48" s="2133" t="str">
        <f>I47&amp;".1"</f>
        <v>....1.1</v>
      </c>
      <c r="K48" s="1273"/>
      <c r="L48" s="1316" t="s">
        <v>422</v>
      </c>
      <c r="P48" s="2263"/>
      <c r="Q48" s="2263">
        <v>1</v>
      </c>
      <c r="R48" s="363"/>
      <c r="S48" s="1964" t="str">
        <f>$J48</f>
        <v>....1.1</v>
      </c>
      <c r="T48" s="292" t="s">
        <v>423</v>
      </c>
      <c r="U48" s="306"/>
      <c r="V48" s="2251"/>
      <c r="W48" s="2252"/>
      <c r="X48" s="2252"/>
      <c r="Y48" s="2252"/>
      <c r="Z48" s="2252"/>
      <c r="AA48" s="2252"/>
      <c r="AB48" s="2252"/>
      <c r="AC48" s="2253"/>
      <c r="AD48" s="2251"/>
      <c r="AE48" s="2252"/>
      <c r="AF48" s="2252"/>
      <c r="AG48" s="2252"/>
      <c r="AH48" s="2252"/>
      <c r="AI48" s="2252"/>
      <c r="AJ48" s="2252"/>
      <c r="AK48" s="2252"/>
      <c r="AL48" s="2253"/>
      <c r="AM48" s="1264" t="s">
        <v>424</v>
      </c>
      <c r="AO48" s="1630"/>
      <c r="AP48" s="1630" t="str">
        <f>IF(T48="","",T48)</f>
        <v>Группа потребителей</v>
      </c>
      <c r="AQ48" s="1630"/>
      <c r="AR48" s="1630"/>
      <c r="AS48" s="1637">
        <v>21</v>
      </c>
    </row>
    <row customHeight="1" ht="22.049999999999997">
      <c r="A49" s="1273" t="s">
        <v>212</v>
      </c>
      <c r="B49" s="1273" t="s">
        <v>213</v>
      </c>
      <c r="C49" s="1273" t="s">
        <v>214</v>
      </c>
      <c r="D49" s="1273" t="s">
        <v>215</v>
      </c>
      <c r="E49" s="2296"/>
      <c r="F49" s="2296"/>
      <c r="G49" s="2296"/>
      <c r="H49" s="2296"/>
      <c r="I49" s="2107"/>
      <c r="J49" s="2107"/>
      <c r="K49" s="2133" t="str">
        <f>J48&amp;".1"</f>
        <v>....1.1.1</v>
      </c>
      <c r="L49" s="1316" t="s">
        <v>425</v>
      </c>
      <c r="P49" s="2263"/>
      <c r="Q49" s="2263"/>
      <c r="R49" s="363">
        <v>1</v>
      </c>
      <c r="S49" s="1964" t="str">
        <f>$K49</f>
        <v>....1.1.1</v>
      </c>
      <c r="T49" s="1353"/>
      <c r="U49" s="306"/>
      <c r="V49" s="757"/>
      <c r="W49" s="331"/>
      <c r="X49" s="757"/>
      <c r="Y49" s="1263"/>
      <c r="Z49" s="2271"/>
      <c r="AA49" s="2113" t="s">
        <v>62</v>
      </c>
      <c r="AB49" s="2271"/>
      <c r="AC49" s="2113" t="s">
        <v>62</v>
      </c>
      <c r="AD49" s="757"/>
      <c r="AE49" s="331"/>
      <c r="AF49" s="757"/>
      <c r="AG49" s="1263"/>
      <c r="AH49" s="2271"/>
      <c r="AI49" s="2113" t="s">
        <v>62</v>
      </c>
      <c r="AJ49" s="2293"/>
      <c r="AK49" s="2113" t="s">
        <v>62</v>
      </c>
      <c r="AL49" s="1354"/>
      <c r="AM49" s="2259" t="s">
        <v>426</v>
      </c>
      <c r="AN49" s="1642">
        <f>STRCHECKDATE(V50:AL50)</f>
      </c>
      <c r="AO49" s="1630"/>
      <c r="AP49" s="1630" t="str">
        <f>IF(T49="","",T49)</f>
        <v/>
      </c>
      <c r="AQ49" s="1630"/>
      <c r="AR49" s="1630"/>
      <c r="AS49" s="1637">
        <v>21</v>
      </c>
    </row>
    <row customHeight="1" ht="1.05">
      <c r="A50" s="1273" t="s">
        <v>212</v>
      </c>
      <c r="B50" s="1273" t="s">
        <v>213</v>
      </c>
      <c r="C50" s="1273" t="s">
        <v>214</v>
      </c>
      <c r="D50" s="1273" t="s">
        <v>215</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212</v>
      </c>
      <c r="B51" s="1273" t="s">
        <v>213</v>
      </c>
      <c r="C51" s="1273" t="s">
        <v>214</v>
      </c>
      <c r="D51" s="1273" t="s">
        <v>215</v>
      </c>
      <c r="E51" s="2296"/>
      <c r="F51" s="2296"/>
      <c r="G51" s="2296"/>
      <c r="H51" s="2296"/>
      <c r="I51" s="2107"/>
      <c r="J51" s="2133"/>
      <c r="K51" s="1273"/>
      <c r="L51" s="1316"/>
      <c r="P51" s="2263"/>
      <c r="Q51" s="2263"/>
      <c r="R51" s="362"/>
      <c r="S51" s="1284"/>
      <c r="T51" s="294" t="s">
        <v>427</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212</v>
      </c>
      <c r="B52" s="1273" t="s">
        <v>213</v>
      </c>
      <c r="C52" s="1273" t="s">
        <v>214</v>
      </c>
      <c r="D52" s="1273" t="s">
        <v>215</v>
      </c>
      <c r="E52" s="2296"/>
      <c r="F52" s="2296"/>
      <c r="G52" s="2296"/>
      <c r="H52" s="2296"/>
      <c r="I52" s="2133"/>
      <c r="J52" s="1273"/>
      <c r="K52" s="1273"/>
      <c r="L52" s="1316"/>
      <c r="P52" s="2263"/>
      <c r="Q52" s="1960"/>
      <c r="R52" s="362"/>
      <c r="S52" s="1284"/>
      <c r="T52" s="293" t="s">
        <v>428</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212</v>
      </c>
      <c r="B53" s="1273" t="s">
        <v>213</v>
      </c>
      <c r="C53" s="1273" t="s">
        <v>214</v>
      </c>
      <c r="D53" s="1273" t="s">
        <v>215</v>
      </c>
      <c r="E53" s="2296"/>
      <c r="F53" s="2296"/>
      <c r="G53" s="2296"/>
      <c r="H53" s="2295"/>
      <c r="I53" s="1273"/>
      <c r="J53" s="1273"/>
      <c r="K53" s="1273"/>
      <c r="L53" s="1316"/>
      <c r="M53" s="1616"/>
      <c r="N53" s="1616"/>
      <c r="O53" s="1641"/>
      <c r="P53" s="366"/>
      <c r="Q53" s="381"/>
      <c r="R53" s="361"/>
      <c r="S53" s="1284"/>
      <c r="T53" s="371" t="s">
        <v>429</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1.05">
      <c r="A54" s="1273" t="s">
        <v>212</v>
      </c>
      <c r="B54" s="1273" t="s">
        <v>213</v>
      </c>
      <c r="C54" s="1273" t="s">
        <v>214</v>
      </c>
      <c r="D54" s="1980"/>
      <c r="E54" s="2296"/>
      <c r="F54" s="2296"/>
      <c r="G54" s="2295"/>
      <c r="H54" s="1980"/>
      <c r="I54" s="1980"/>
      <c r="J54" s="1980"/>
      <c r="K54" s="1980"/>
      <c r="L54" s="1386"/>
      <c r="M54" s="1616"/>
      <c r="N54" s="1616"/>
      <c r="O54" s="1641"/>
      <c r="P54" s="1322"/>
      <c r="Q54" s="1323"/>
      <c r="R54" s="1322"/>
      <c r="S54" s="1328"/>
      <c r="T54" s="1331" t="s">
        <v>430</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1</v>
      </c>
    </row>
    <row s="1648" customFormat="1" customHeight="1" ht="1.05">
      <c r="A55" s="1273" t="s">
        <v>212</v>
      </c>
      <c r="B55" s="1273" t="s">
        <v>213</v>
      </c>
      <c r="C55" s="1980"/>
      <c r="D55" s="1980"/>
      <c r="E55" s="2296"/>
      <c r="F55" s="2295"/>
      <c r="G55" s="1980"/>
      <c r="H55" s="1980"/>
      <c r="I55" s="1980"/>
      <c r="J55" s="1980"/>
      <c r="K55" s="1980"/>
      <c r="L55" s="1386"/>
      <c r="M55" s="1981"/>
      <c r="N55" s="1981"/>
      <c r="O55" s="1641"/>
      <c r="P55" s="1322"/>
      <c r="Q55" s="1323"/>
      <c r="R55" s="1322"/>
      <c r="S55" s="1328"/>
      <c r="T55" s="1331" t="s">
        <v>251</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1</v>
      </c>
    </row>
    <row s="1648" customFormat="1" customHeight="1" ht="1.05">
      <c r="A56" s="1273" t="s">
        <v>212</v>
      </c>
      <c r="B56" s="1273"/>
      <c r="C56" s="1273"/>
      <c r="D56" s="1273"/>
      <c r="E56" s="2295"/>
      <c r="F56" s="1273"/>
      <c r="G56" s="1273"/>
      <c r="H56" s="1273"/>
      <c r="I56" s="1273"/>
      <c r="J56" s="1273"/>
      <c r="K56" s="1273"/>
      <c r="L56" s="1316"/>
      <c r="M56" s="1981"/>
      <c r="N56" s="1981"/>
      <c r="O56" s="1641"/>
      <c r="P56" s="386"/>
      <c r="Q56" s="1350"/>
      <c r="R56" s="386"/>
      <c r="S56" s="1328"/>
      <c r="T56" s="1331" t="s">
        <v>252</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1</v>
      </c>
    </row>
    <row s="1648" customFormat="1" customHeight="1" ht="1.05">
      <c r="A57" s="1980"/>
      <c r="B57" s="1980"/>
      <c r="C57" s="1980"/>
      <c r="D57" s="1980"/>
      <c r="E57" s="1273"/>
      <c r="F57" s="1980"/>
      <c r="G57" s="1980"/>
      <c r="H57" s="1980"/>
      <c r="I57" s="1980"/>
      <c r="J57" s="1980"/>
      <c r="K57" s="1980"/>
      <c r="L57" s="1386"/>
      <c r="M57" s="1981"/>
      <c r="N57" s="1981"/>
      <c r="O57" s="1641"/>
      <c r="P57" s="1322"/>
      <c r="Q57" s="1323"/>
      <c r="R57" s="1322"/>
      <c r="S57" s="1328"/>
      <c r="T57" s="1331" t="s">
        <v>264</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1</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83</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9143B8-A50A-A86D-5BA3-B9BE398C841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7109375" hidden="1" customWidth="1"/>
    <col min="22" max="22" style="1641" width="1.7109375" hidden="1" customWidth="1"/>
    <col min="23" max="23" style="1641" width="24.7109375" hidden="1" customWidth="1"/>
    <col min="24" max="25" style="1641" width="0.14062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0.140625" customWidth="1"/>
    <col min="31" max="31" style="1641" width="24.00390625" customWidth="1"/>
    <col min="32" max="33" style="1641" width="0.14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125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412</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413</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414</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415</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416</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417</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418</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419</v>
      </c>
      <c r="M6" s="543"/>
      <c r="P6" s="2263">
        <v>1</v>
      </c>
      <c r="Q6" s="1337"/>
      <c r="R6" s="362"/>
      <c r="S6" s="1342">
        <f>$I6</f>
      </c>
      <c r="T6" s="291" t="s">
        <v>420</v>
      </c>
      <c r="U6" s="306"/>
      <c r="V6" s="2251"/>
      <c r="W6" s="2252"/>
      <c r="X6" s="2252"/>
      <c r="Y6" s="2252"/>
      <c r="Z6" s="2252"/>
      <c r="AA6" s="2252"/>
      <c r="AB6" s="2252"/>
      <c r="AC6" s="2253"/>
      <c r="AD6" s="2251"/>
      <c r="AE6" s="2252"/>
      <c r="AF6" s="2252"/>
      <c r="AG6" s="2252"/>
      <c r="AH6" s="2252"/>
      <c r="AI6" s="2252"/>
      <c r="AJ6" s="2252"/>
      <c r="AK6" s="2252"/>
      <c r="AL6" s="2253"/>
      <c r="AM6" s="1264" t="s">
        <v>421</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422</v>
      </c>
      <c r="M7" s="543"/>
      <c r="N7" s="1372"/>
      <c r="P7" s="2263"/>
      <c r="Q7" s="2263">
        <v>1</v>
      </c>
      <c r="R7" s="363"/>
      <c r="S7" s="1342">
        <f>$J7</f>
      </c>
      <c r="T7" s="292" t="s">
        <v>423</v>
      </c>
      <c r="U7" s="306"/>
      <c r="V7" s="2251"/>
      <c r="W7" s="2252"/>
      <c r="X7" s="2252"/>
      <c r="Y7" s="2252"/>
      <c r="Z7" s="2252"/>
      <c r="AA7" s="2252"/>
      <c r="AB7" s="2252"/>
      <c r="AC7" s="2253"/>
      <c r="AD7" s="2251"/>
      <c r="AE7" s="2252"/>
      <c r="AF7" s="2252"/>
      <c r="AG7" s="2252"/>
      <c r="AH7" s="2252"/>
      <c r="AI7" s="2252"/>
      <c r="AJ7" s="2252"/>
      <c r="AK7" s="2252"/>
      <c r="AL7" s="2253"/>
      <c r="AM7" s="1264" t="s">
        <v>424</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425</v>
      </c>
      <c r="M8" s="543"/>
      <c r="N8" s="1372"/>
      <c r="O8" s="1372"/>
      <c r="P8" s="2263"/>
      <c r="Q8" s="2263"/>
      <c r="R8" s="363">
        <v>1</v>
      </c>
      <c r="S8" s="1342">
        <f>$K8</f>
      </c>
      <c r="T8" s="1353"/>
      <c r="U8" s="306"/>
      <c r="V8" s="331"/>
      <c r="W8" s="757"/>
      <c r="X8" s="331"/>
      <c r="Y8" s="390"/>
      <c r="Z8" s="2271"/>
      <c r="AA8" s="2113" t="s">
        <v>62</v>
      </c>
      <c r="AB8" s="2271"/>
      <c r="AC8" s="2113" t="s">
        <v>62</v>
      </c>
      <c r="AD8" s="331"/>
      <c r="AE8" s="757"/>
      <c r="AF8" s="331"/>
      <c r="AG8" s="390"/>
      <c r="AH8" s="2271"/>
      <c r="AI8" s="2113" t="s">
        <v>62</v>
      </c>
      <c r="AJ8" s="2271"/>
      <c r="AK8" s="2113" t="s">
        <v>62</v>
      </c>
      <c r="AL8" s="331"/>
      <c r="AM8" s="2259" t="s">
        <v>426</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427</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428</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429</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430</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251</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252</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62</v>
      </c>
      <c r="AJ17" s="2273"/>
      <c r="AK17" s="2274" t="s">
        <v>62</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431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33.75" hidden="1">
      <c r="L22" s="1335"/>
      <c r="M22" s="1368"/>
      <c r="N22" s="1368"/>
      <c r="O22" s="1370" t="s">
        <v>432</v>
      </c>
      <c r="P22" s="1368"/>
      <c r="Q22" s="1377"/>
      <c r="R22" s="1377"/>
      <c r="S22" s="735"/>
      <c r="T22" s="1166" t="s">
        <v>433</v>
      </c>
      <c r="AA22" s="192" t="s">
        <v>434</v>
      </c>
      <c r="AC22" s="192" t="s">
        <v>435</v>
      </c>
      <c r="AD22" s="1166" t="s">
        <v>433</v>
      </c>
      <c r="AI22" s="192" t="s">
        <v>436</v>
      </c>
      <c r="AK22" s="192" t="s">
        <v>435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29.25">
      <c r="Q26" s="382"/>
      <c r="R26" s="382"/>
      <c r="S26" s="225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4"/>
      <c r="U26" s="2254"/>
      <c r="V26" s="2254"/>
      <c r="W26" s="2254"/>
      <c r="X26" s="2254"/>
      <c r="Y26" s="2254"/>
      <c r="Z26" s="2254"/>
      <c r="AA26" s="2254"/>
      <c r="AB26" s="2254"/>
      <c r="AC26" s="2254"/>
      <c r="AD26" s="2254"/>
      <c r="AE26" s="2254"/>
      <c r="AF26" s="2254"/>
      <c r="AG26" s="2254"/>
      <c r="AH26" s="2254"/>
      <c r="AI26" s="2254"/>
      <c r="AJ26" s="2254"/>
      <c r="AK26" s="1249"/>
      <c r="AS26" s="1161">
        <v>28</v>
      </c>
    </row>
    <row customHeight="1" ht="14.699999999999998">
      <c r="Q27" s="382"/>
      <c r="R27" s="382"/>
      <c r="S27" s="2255" t="str">
        <f>IF(org=0,"Не определено",org)</f>
        <v>АО «ДГК» СП «Нерюнгринская ГРЭС»</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Государственный комитет по ценовой политике Республики Саха (Якутия)</v>
      </c>
      <c r="W29" s="2257"/>
      <c r="X29" s="2257"/>
      <c r="Y29" s="2257"/>
      <c r="Z29" s="2257"/>
      <c r="AA29" s="2257"/>
      <c r="AB29" s="2257"/>
      <c r="AC29" s="332"/>
      <c r="AD29" s="2257" t="str">
        <f>IF(TITLE_NAME_OR_PR_CHANGE="",IF(TITLE_NAME_OR_PR="","",TITLE_NAME_OR_PR),TITLE_NAME_OR_PR_CHANGE)</f>
        <v>Государственный комитет по ценовой политике Республики Саха (Якутия)</v>
      </c>
      <c r="AE29" s="2257"/>
      <c r="AF29" s="2257"/>
      <c r="AG29" s="2257"/>
      <c r="AH29" s="2257"/>
      <c r="AI29" s="2257"/>
      <c r="AJ29" s="2257"/>
      <c r="AK29" s="332"/>
      <c r="AL29" s="332"/>
      <c r="AM29" s="286"/>
      <c r="AN29" s="374"/>
      <c r="AO29" s="374"/>
      <c r="AP29" s="374"/>
      <c r="AQ29" s="374"/>
      <c r="AR29" s="374"/>
      <c r="AS29" s="424">
        <v>0</v>
      </c>
    </row>
    <row s="1859" customFormat="1" customHeight="1" ht="18.75">
      <c r="A30" s="1374"/>
      <c r="B30" s="1374"/>
      <c r="C30" s="1374"/>
      <c r="D30" s="1374"/>
      <c r="E30" s="1374"/>
      <c r="F30" s="1374"/>
      <c r="G30" s="1374"/>
      <c r="H30" s="1374"/>
      <c r="I30" s="1374"/>
      <c r="J30" s="1374"/>
      <c r="K30" s="1374"/>
      <c r="L30" s="1375"/>
      <c r="M30" s="1374"/>
      <c r="N30" s="1374"/>
      <c r="O30" s="1374"/>
      <c r="S30" s="2256" t="s">
        <v>437</v>
      </c>
      <c r="T30" s="2256"/>
      <c r="U30" s="1378"/>
      <c r="V30" s="2270" t="str">
        <f>IF(TITLE_DATE_PR_CHANGE="",IF(TITLE_DATE_PR="","",TITLE_DATE_PR),TITLE_DATE_PR_CHANGE)</f>
        <v>46003.502546296295</v>
      </c>
      <c r="W30" s="2270"/>
      <c r="X30" s="2270"/>
      <c r="Y30" s="2270"/>
      <c r="Z30" s="2270"/>
      <c r="AA30" s="2270"/>
      <c r="AB30" s="2270"/>
      <c r="AC30" s="332"/>
      <c r="AD30" s="2270" t="str">
        <f>IF(TITLE_DATE_PR_CHANGE="",IF(TITLE_DATE_PR="","",TITLE_DATE_PR),TITLE_DATE_PR_CHANGE)</f>
        <v>46003.502546296295</v>
      </c>
      <c r="AE30" s="2270"/>
      <c r="AF30" s="2270"/>
      <c r="AG30" s="2270"/>
      <c r="AH30" s="2270"/>
      <c r="AI30" s="2270"/>
      <c r="AJ30" s="2270"/>
      <c r="AK30" s="332"/>
      <c r="AL30" s="332"/>
      <c r="AM30" s="286"/>
      <c r="AN30" s="374"/>
      <c r="AO30" s="374"/>
      <c r="AP30" s="374"/>
      <c r="AQ30" s="374"/>
      <c r="AR30" s="374"/>
      <c r="AS30" s="424">
        <v>0</v>
      </c>
    </row>
    <row s="1859" customFormat="1" customHeight="1" ht="18.75">
      <c r="A31" s="1374"/>
      <c r="B31" s="1374"/>
      <c r="C31" s="1374"/>
      <c r="D31" s="1374"/>
      <c r="E31" s="1374"/>
      <c r="F31" s="1374"/>
      <c r="G31" s="1374"/>
      <c r="H31" s="1374"/>
      <c r="I31" s="1374"/>
      <c r="J31" s="1374"/>
      <c r="K31" s="1374"/>
      <c r="L31" s="1375"/>
      <c r="M31" s="1374"/>
      <c r="N31" s="1374"/>
      <c r="O31" s="1374"/>
      <c r="S31" s="2256" t="s">
        <v>438</v>
      </c>
      <c r="T31" s="2256"/>
      <c r="U31" s="1378"/>
      <c r="V31" s="2257" t="str">
        <f>IF(TITLE_NUMBER_PR_CHANGE="",IF(TITLE_NUMBER_PR="","",TITLE_NUMBER_PR),TITLE_NUMBER_PR_CHANGE)</f>
        <v>№ 222</v>
      </c>
      <c r="W31" s="2257"/>
      <c r="X31" s="2257"/>
      <c r="Y31" s="2257"/>
      <c r="Z31" s="2257"/>
      <c r="AA31" s="2257"/>
      <c r="AB31" s="2257"/>
      <c r="AC31" s="332"/>
      <c r="AD31" s="2257" t="str">
        <f>IF(TITLE_NUMBER_PR_CHANGE="",IF(TITLE_NUMBER_PR="","",TITLE_NUMBER_PR),TITLE_NUMBER_PR_CHANGE)</f>
        <v>№ 222</v>
      </c>
      <c r="AE31" s="2257"/>
      <c r="AF31" s="2257"/>
      <c r="AG31" s="2257"/>
      <c r="AH31" s="2257"/>
      <c r="AI31" s="2257"/>
      <c r="AJ31" s="2257"/>
      <c r="AK31" s="332"/>
      <c r="AL31" s="332"/>
      <c r="AM31" s="286"/>
      <c r="AN31" s="374"/>
      <c r="AO31" s="374"/>
      <c r="AP31" s="374"/>
      <c r="AQ31" s="374"/>
      <c r="AR31" s="374"/>
      <c r="AS31" s="424">
        <v>0</v>
      </c>
    </row>
    <row s="1859" customFormat="1" customHeight="1" ht="18.75">
      <c r="A32" s="1374"/>
      <c r="B32" s="1374"/>
      <c r="C32" s="1374"/>
      <c r="D32" s="1374"/>
      <c r="E32" s="1374"/>
      <c r="F32" s="1374"/>
      <c r="G32" s="1374"/>
      <c r="H32" s="1374"/>
      <c r="I32" s="1374"/>
      <c r="J32" s="1374"/>
      <c r="K32" s="1374"/>
      <c r="L32" s="1375"/>
      <c r="M32" s="1374"/>
      <c r="N32" s="1374"/>
      <c r="O32" s="1374"/>
      <c r="S32" s="2256" t="s">
        <v>44</v>
      </c>
      <c r="T32" s="2256"/>
      <c r="U32" s="1378"/>
      <c r="V32" s="2257" t="str">
        <f>IF(TITLE_IST_PUB_CHANGE="",IF(TITLE_IST_PUB="","",TITLE_IST_PUB),TITLE_IST_PUB_CHANGE)</f>
        <v>Официальный интернет-портал правовой информации http://pravo.gov.ru/ </v>
      </c>
      <c r="W32" s="2257"/>
      <c r="X32" s="2257"/>
      <c r="Y32" s="2257"/>
      <c r="Z32" s="2257"/>
      <c r="AA32" s="2257"/>
      <c r="AB32" s="2257"/>
      <c r="AC32" s="332"/>
      <c r="AD32" s="2257" t="str">
        <f>IF(TITLE_IST_PUB_CHANGE="",IF(TITLE_IST_PUB="","",TITLE_IST_PUB),TITLE_IST_PUB_CHANGE)</f>
        <v>Официальный интернет-портал правовой информации http://pravo.gov.ru/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439</v>
      </c>
      <c r="T34" s="2256"/>
      <c r="U34" s="1378"/>
      <c r="V34" s="2270" t="str">
        <f>IF(TITLE_DATE_PR_CHANGE="",IF(TITLE_DATE_PR="","",TITLE_DATE_PR),TITLE_DATE_PR_CHANGE)</f>
        <v>46003.502546296295</v>
      </c>
      <c r="W34" s="2270"/>
      <c r="X34" s="2270"/>
      <c r="Y34" s="2270"/>
      <c r="Z34" s="2270"/>
      <c r="AA34" s="2270"/>
      <c r="AB34" s="2270"/>
      <c r="AC34" s="332"/>
      <c r="AD34" s="2270" t="str">
        <f>IF(TITLE_DATE_PR_CHANGE="",IF(TITLE_DATE_PR="","",TITLE_DATE_PR),TITLE_DATE_PR_CHANGE)</f>
        <v>46003.502546296295</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440</v>
      </c>
      <c r="T35" s="2256"/>
      <c r="U35" s="1378"/>
      <c r="V35" s="2257" t="str">
        <f>IF(TITLE_NUMBER_PR_CHANGE="",IF(TITLE_NUMBER_PR="","",TITLE_NUMBER_PR),TITLE_NUMBER_PR_CHANGE)</f>
        <v>№ 222</v>
      </c>
      <c r="W35" s="2257"/>
      <c r="X35" s="2257"/>
      <c r="Y35" s="2257"/>
      <c r="Z35" s="2257"/>
      <c r="AA35" s="2257"/>
      <c r="AB35" s="2257"/>
      <c r="AC35" s="332"/>
      <c r="AD35" s="2257" t="str">
        <f>IF(TITLE_NUMBER_PR_CHANGE="",IF(TITLE_NUMBER_PR="","",TITLE_NUMBER_PR),TITLE_NUMBER_PR_CHANGE)</f>
        <v>№ 222</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441</v>
      </c>
      <c r="AD36" s="332"/>
      <c r="AE36" s="332"/>
      <c r="AF36" s="332"/>
      <c r="AG36" s="332"/>
      <c r="AH36" s="332"/>
      <c r="AI36" s="332"/>
      <c r="AJ36" s="332"/>
      <c r="AK36" s="284" t="s">
        <v>441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316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317</v>
      </c>
      <c r="AS38" s="1161">
        <v>14</v>
      </c>
    </row>
    <row customHeight="1" ht="14.699999999999998">
      <c r="Q39" s="382"/>
      <c r="R39" s="382"/>
      <c r="S39" s="2279" t="s">
        <v>89</v>
      </c>
      <c r="T39" s="2215" t="s">
        <v>442</v>
      </c>
      <c r="U39" s="307"/>
      <c r="V39" s="2280" t="s">
        <v>443</v>
      </c>
      <c r="W39" s="2281"/>
      <c r="X39" s="2297"/>
      <c r="Y39" s="2297"/>
      <c r="Z39" s="2281"/>
      <c r="AA39" s="2281"/>
      <c r="AB39" s="2282"/>
      <c r="AC39" s="2283" t="s">
        <v>444</v>
      </c>
      <c r="AD39" s="2280" t="s">
        <v>443</v>
      </c>
      <c r="AE39" s="2281"/>
      <c r="AF39" s="2297"/>
      <c r="AG39" s="2297"/>
      <c r="AH39" s="2281"/>
      <c r="AI39" s="2281"/>
      <c r="AJ39" s="2282"/>
      <c r="AK39" s="2283" t="s">
        <v>445</v>
      </c>
      <c r="AL39" s="2286" t="s">
        <v>446</v>
      </c>
      <c r="AM39" s="2133"/>
      <c r="AS39" s="1161">
        <v>14</v>
      </c>
    </row>
    <row customHeight="1" ht="24">
      <c r="Q40" s="382"/>
      <c r="R40" s="382"/>
      <c r="S40" s="2279"/>
      <c r="T40" s="2215"/>
      <c r="U40" s="1037"/>
      <c r="V40" s="2298" t="s">
        <v>447</v>
      </c>
      <c r="W40" s="2300" t="s">
        <v>448</v>
      </c>
      <c r="X40" s="1382" t="s">
        <v>449</v>
      </c>
      <c r="Y40" s="1382"/>
      <c r="Z40" s="2275" t="s">
        <v>450</v>
      </c>
      <c r="AA40" s="2275"/>
      <c r="AB40" s="2269"/>
      <c r="AC40" s="2284"/>
      <c r="AD40" s="2298" t="s">
        <v>447</v>
      </c>
      <c r="AE40" s="2300" t="s">
        <v>448</v>
      </c>
      <c r="AF40" s="1382" t="s">
        <v>449</v>
      </c>
      <c r="AG40" s="1382"/>
      <c r="AH40" s="2275" t="s">
        <v>450</v>
      </c>
      <c r="AI40" s="2275"/>
      <c r="AJ40" s="2269"/>
      <c r="AK40" s="2284"/>
      <c r="AL40" s="2287"/>
      <c r="AM40" s="2133"/>
      <c r="AS40" s="1161">
        <v>23</v>
      </c>
    </row>
    <row s="1272" customFormat="1" customHeight="1" ht="24">
      <c r="A41" s="1376"/>
      <c r="B41" s="1376" t="s">
        <v>137</v>
      </c>
      <c r="C41" s="1376" t="s">
        <v>138</v>
      </c>
      <c r="D41" s="1376" t="s">
        <v>139</v>
      </c>
      <c r="E41" s="1370" t="s">
        <v>451</v>
      </c>
      <c r="F41" s="1370" t="s">
        <v>452</v>
      </c>
      <c r="G41" s="1370" t="s">
        <v>453</v>
      </c>
      <c r="H41" s="1370" t="s">
        <v>454</v>
      </c>
      <c r="I41" s="1370" t="s">
        <v>455</v>
      </c>
      <c r="J41" s="1370" t="s">
        <v>456</v>
      </c>
      <c r="K41" s="1370" t="s">
        <v>457</v>
      </c>
      <c r="L41" s="1370" t="s">
        <v>432</v>
      </c>
      <c r="M41" s="1368"/>
      <c r="N41" s="1368"/>
      <c r="O41" s="1368"/>
      <c r="P41" s="1334"/>
      <c r="Q41" s="382"/>
      <c r="R41" s="382"/>
      <c r="S41" s="2279"/>
      <c r="T41" s="2215"/>
      <c r="U41" s="308"/>
      <c r="V41" s="2299"/>
      <c r="W41" s="2301"/>
      <c r="X41" s="1379" t="s">
        <v>458</v>
      </c>
      <c r="Y41" s="1379" t="s">
        <v>459</v>
      </c>
      <c r="Z41" s="1340" t="s">
        <v>460</v>
      </c>
      <c r="AA41" s="2276" t="s">
        <v>461</v>
      </c>
      <c r="AB41" s="2277"/>
      <c r="AC41" s="2285"/>
      <c r="AD41" s="2299"/>
      <c r="AE41" s="2301"/>
      <c r="AF41" s="1379" t="s">
        <v>458</v>
      </c>
      <c r="AG41" s="1379" t="s">
        <v>459</v>
      </c>
      <c r="AH41" s="1340" t="s">
        <v>460</v>
      </c>
      <c r="AI41" s="2276" t="s">
        <v>461</v>
      </c>
      <c r="AJ41" s="2277"/>
      <c r="AK41" s="2285"/>
      <c r="AL41" s="2288"/>
      <c r="AM41" s="2133"/>
      <c r="AN41" s="517"/>
      <c r="AO41" s="506"/>
      <c r="AP41" s="506"/>
      <c r="AQ41" s="506"/>
      <c r="AR41" s="506"/>
      <c r="AS41" s="588">
        <v>23</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111</v>
      </c>
      <c r="T42" s="1261" t="s">
        <v>112</v>
      </c>
      <c r="U42" s="1251" t="str">
        <f>OFFSET(U42,0,-1)</f>
        <v>2</v>
      </c>
      <c r="V42" s="1341">
        <f>OFFSET(V42,0,-1)+1</f>
        <v>3</v>
      </c>
      <c r="W42" s="1341"/>
      <c r="X42" s="1347">
        <f>OFFSET(X42,0,-1)+1</f>
        <v>1</v>
      </c>
      <c r="Y42" s="1347">
        <f>OFFSET(Y42,0,-1)+1</f>
        <v>2</v>
      </c>
      <c r="Z42" s="1341">
        <f>OFFSET(Z42,0,-1)+1</f>
        <v>3</v>
      </c>
      <c r="AA42" s="2278">
        <f>OFFSET(AA42,0,-1)+1</f>
        <v>4</v>
      </c>
      <c r="AB42" s="2278"/>
      <c r="AC42" s="1341">
        <f>OFFSET(AC42,0,-2)+1</f>
        <v>5</v>
      </c>
      <c r="AD42" s="1341">
        <f>OFFSET(AD42,0,-1)+1</f>
        <v>6</v>
      </c>
      <c r="AE42" s="1341"/>
      <c r="AF42" s="1347">
        <f>OFFSET(AF42,0,-1)+1</f>
        <v>1</v>
      </c>
      <c r="AG42" s="1347">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194</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125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c r="AS43" s="1161">
        <v>21</v>
      </c>
    </row>
    <row customHeight="1" ht="22.049999999999997">
      <c r="A44" s="1369" t="s">
        <v>194</v>
      </c>
      <c r="B44" s="1369" t="s">
        <v>195</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413</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414</v>
      </c>
      <c r="AO44" s="506"/>
      <c r="AP44" s="506" t="str">
        <f>IF(T44="","",T44)</f>
        <v>Территория действия тарифа</v>
      </c>
      <c r="AQ44" s="506"/>
      <c r="AR44" s="506"/>
      <c r="AS44" s="1161">
        <v>21</v>
      </c>
    </row>
    <row customHeight="1" ht="24">
      <c r="A45" s="1369" t="s">
        <v>194</v>
      </c>
      <c r="B45" s="1369" t="s">
        <v>195</v>
      </c>
      <c r="C45" s="1369" t="s">
        <v>196</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415</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416</v>
      </c>
      <c r="AO45" s="506"/>
      <c r="AP45" s="506" t="str">
        <f>IF(T45="","",T45)</f>
        <v>Наименование системы теплоснабжения </v>
      </c>
      <c r="AQ45" s="506"/>
      <c r="AR45" s="506"/>
      <c r="AS45" s="1161">
        <v>23</v>
      </c>
    </row>
    <row customHeight="1" ht="22.049999999999997">
      <c r="A46" s="1369" t="s">
        <v>194</v>
      </c>
      <c r="B46" s="1369" t="s">
        <v>195</v>
      </c>
      <c r="C46" s="1369" t="s">
        <v>196</v>
      </c>
      <c r="D46" s="1369" t="s">
        <v>197</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417</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418</v>
      </c>
      <c r="AO46" s="506"/>
      <c r="AP46" s="506" t="str">
        <f>IF(T46="","",T46)</f>
        <v>Источник тепловой энергии  </v>
      </c>
      <c r="AQ46" s="506"/>
      <c r="AR46" s="506"/>
      <c r="AS46" s="1161">
        <v>21</v>
      </c>
    </row>
    <row customHeight="1" ht="49.5">
      <c r="A47" s="1369" t="s">
        <v>194</v>
      </c>
      <c r="B47" s="1369" t="s">
        <v>195</v>
      </c>
      <c r="C47" s="1369" t="s">
        <v>196</v>
      </c>
      <c r="D47" s="1369" t="s">
        <v>197</v>
      </c>
      <c r="E47" s="2265"/>
      <c r="F47" s="2265"/>
      <c r="G47" s="2265"/>
      <c r="H47" s="2265"/>
      <c r="I47" s="2262" t="str">
        <f>S46&amp;".1"</f>
        <v>....1</v>
      </c>
      <c r="J47" s="1369"/>
      <c r="K47" s="1369"/>
      <c r="L47" s="1370" t="s">
        <v>419</v>
      </c>
      <c r="P47" s="2263">
        <v>1</v>
      </c>
      <c r="Q47" s="1337"/>
      <c r="R47" s="362"/>
      <c r="S47" s="1342" t="str">
        <f>$I47</f>
        <v>....1</v>
      </c>
      <c r="T47" s="291" t="s">
        <v>420</v>
      </c>
      <c r="U47" s="306"/>
      <c r="V47" s="2251"/>
      <c r="W47" s="2252"/>
      <c r="X47" s="2252"/>
      <c r="Y47" s="2252"/>
      <c r="Z47" s="2252"/>
      <c r="AA47" s="2252"/>
      <c r="AB47" s="2252"/>
      <c r="AC47" s="2253"/>
      <c r="AD47" s="2251"/>
      <c r="AE47" s="2252"/>
      <c r="AF47" s="2252"/>
      <c r="AG47" s="2252"/>
      <c r="AH47" s="2252"/>
      <c r="AI47" s="2252"/>
      <c r="AJ47" s="2252"/>
      <c r="AK47" s="2252"/>
      <c r="AL47" s="2253"/>
      <c r="AM47" s="1264" t="s">
        <v>421</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194</v>
      </c>
      <c r="B48" s="1369" t="s">
        <v>195</v>
      </c>
      <c r="C48" s="1369" t="s">
        <v>196</v>
      </c>
      <c r="D48" s="1369" t="s">
        <v>197</v>
      </c>
      <c r="E48" s="2265"/>
      <c r="F48" s="2265"/>
      <c r="G48" s="2265"/>
      <c r="H48" s="2265"/>
      <c r="I48" s="2292"/>
      <c r="J48" s="2262" t="str">
        <f>I47&amp;".1"</f>
        <v>....1.1</v>
      </c>
      <c r="K48" s="1369"/>
      <c r="L48" s="1370" t="s">
        <v>422</v>
      </c>
      <c r="P48" s="2263"/>
      <c r="Q48" s="2263">
        <v>1</v>
      </c>
      <c r="R48" s="363"/>
      <c r="S48" s="1342" t="str">
        <f>$J48</f>
        <v>....1.1</v>
      </c>
      <c r="T48" s="292" t="s">
        <v>423</v>
      </c>
      <c r="U48" s="306"/>
      <c r="V48" s="2251"/>
      <c r="W48" s="2252"/>
      <c r="X48" s="2252"/>
      <c r="Y48" s="2252"/>
      <c r="Z48" s="2252"/>
      <c r="AA48" s="2252"/>
      <c r="AB48" s="2252"/>
      <c r="AC48" s="2253"/>
      <c r="AD48" s="2251"/>
      <c r="AE48" s="2252"/>
      <c r="AF48" s="2252"/>
      <c r="AG48" s="2252"/>
      <c r="AH48" s="2252"/>
      <c r="AI48" s="2252"/>
      <c r="AJ48" s="2252"/>
      <c r="AK48" s="2252"/>
      <c r="AL48" s="2253"/>
      <c r="AM48" s="1264" t="s">
        <v>424</v>
      </c>
      <c r="AO48" s="506"/>
      <c r="AP48" s="506" t="str">
        <f>IF(T48="","",T48)</f>
        <v>Группа потребителей</v>
      </c>
      <c r="AQ48" s="506"/>
      <c r="AR48" s="506"/>
      <c r="AS48" s="1161">
        <v>21</v>
      </c>
    </row>
    <row customHeight="1" ht="22.049999999999997">
      <c r="A49" s="1369" t="s">
        <v>194</v>
      </c>
      <c r="B49" s="1369" t="s">
        <v>195</v>
      </c>
      <c r="C49" s="1369" t="s">
        <v>196</v>
      </c>
      <c r="D49" s="1369" t="s">
        <v>197</v>
      </c>
      <c r="E49" s="2265"/>
      <c r="F49" s="2265"/>
      <c r="G49" s="2265"/>
      <c r="H49" s="2265"/>
      <c r="I49" s="2292"/>
      <c r="J49" s="2292"/>
      <c r="K49" s="2262" t="str">
        <f>J48&amp;".1"</f>
        <v>....1.1.1</v>
      </c>
      <c r="L49" s="1370" t="s">
        <v>425</v>
      </c>
      <c r="P49" s="2263"/>
      <c r="Q49" s="2263"/>
      <c r="R49" s="363">
        <v>1</v>
      </c>
      <c r="S49" s="1342" t="str">
        <f>$K49</f>
        <v>....1.1.1</v>
      </c>
      <c r="T49" s="1353"/>
      <c r="U49" s="306"/>
      <c r="V49" s="331"/>
      <c r="W49" s="757"/>
      <c r="X49" s="331"/>
      <c r="Y49" s="390"/>
      <c r="Z49" s="2271"/>
      <c r="AA49" s="2113" t="s">
        <v>62</v>
      </c>
      <c r="AB49" s="2271"/>
      <c r="AC49" s="2113" t="s">
        <v>62</v>
      </c>
      <c r="AD49" s="331"/>
      <c r="AE49" s="757"/>
      <c r="AF49" s="331"/>
      <c r="AG49" s="390"/>
      <c r="AH49" s="2271"/>
      <c r="AI49" s="2113" t="s">
        <v>62</v>
      </c>
      <c r="AJ49" s="2293"/>
      <c r="AK49" s="2113" t="s">
        <v>62</v>
      </c>
      <c r="AL49" s="1354"/>
      <c r="AM49" s="2259" t="s">
        <v>426</v>
      </c>
      <c r="AN49" s="517">
        <f>STRCHECKDATE(V50:AL50)</f>
      </c>
      <c r="AO49" s="506"/>
      <c r="AP49" s="506" t="str">
        <f>IF(T49="","",T49)</f>
        <v/>
      </c>
      <c r="AQ49" s="506"/>
      <c r="AR49" s="506"/>
      <c r="AS49" s="1161">
        <v>21</v>
      </c>
    </row>
    <row customHeight="1" ht="1.05">
      <c r="A50" s="1369" t="s">
        <v>194</v>
      </c>
      <c r="B50" s="1369" t="s">
        <v>195</v>
      </c>
      <c r="C50" s="1369" t="s">
        <v>196</v>
      </c>
      <c r="D50" s="1369" t="s">
        <v>197</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194</v>
      </c>
      <c r="B51" s="1369" t="s">
        <v>195</v>
      </c>
      <c r="C51" s="1369" t="s">
        <v>196</v>
      </c>
      <c r="D51" s="1369" t="s">
        <v>197</v>
      </c>
      <c r="E51" s="2265"/>
      <c r="F51" s="2265"/>
      <c r="G51" s="2265"/>
      <c r="H51" s="2265"/>
      <c r="I51" s="2292"/>
      <c r="J51" s="2262"/>
      <c r="K51" s="1369"/>
      <c r="L51" s="1370"/>
      <c r="P51" s="2263"/>
      <c r="Q51" s="2263"/>
      <c r="R51" s="362"/>
      <c r="S51" s="1284"/>
      <c r="T51" s="294" t="s">
        <v>427</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194</v>
      </c>
      <c r="B52" s="1369" t="s">
        <v>195</v>
      </c>
      <c r="C52" s="1369" t="s">
        <v>196</v>
      </c>
      <c r="D52" s="1369" t="s">
        <v>197</v>
      </c>
      <c r="E52" s="2265"/>
      <c r="F52" s="2265"/>
      <c r="G52" s="2265"/>
      <c r="H52" s="2265"/>
      <c r="I52" s="2262"/>
      <c r="J52" s="1369"/>
      <c r="K52" s="1369"/>
      <c r="L52" s="1370"/>
      <c r="P52" s="2263"/>
      <c r="Q52" s="1337"/>
      <c r="R52" s="362"/>
      <c r="S52" s="1284"/>
      <c r="T52" s="293" t="s">
        <v>428</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194</v>
      </c>
      <c r="B53" s="1369" t="s">
        <v>195</v>
      </c>
      <c r="C53" s="1369" t="s">
        <v>196</v>
      </c>
      <c r="D53" s="1369" t="s">
        <v>197</v>
      </c>
      <c r="E53" s="2265"/>
      <c r="F53" s="2265"/>
      <c r="G53" s="2265"/>
      <c r="H53" s="2264"/>
      <c r="I53" s="1369"/>
      <c r="J53" s="1369"/>
      <c r="K53" s="1369"/>
      <c r="L53" s="1370"/>
      <c r="M53" s="1371"/>
      <c r="N53" s="1371"/>
      <c r="O53" s="543"/>
      <c r="P53" s="366"/>
      <c r="Q53" s="381"/>
      <c r="R53" s="361"/>
      <c r="S53" s="1284"/>
      <c r="T53" s="371" t="s">
        <v>429</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194</v>
      </c>
      <c r="B54" s="1349" t="s">
        <v>195</v>
      </c>
      <c r="C54" s="1349" t="s">
        <v>196</v>
      </c>
      <c r="D54" s="1320"/>
      <c r="E54" s="2265"/>
      <c r="F54" s="2265"/>
      <c r="G54" s="2264"/>
      <c r="H54" s="1320"/>
      <c r="I54" s="1320"/>
      <c r="J54" s="1320"/>
      <c r="K54" s="1320"/>
      <c r="L54" s="1345"/>
      <c r="M54" s="1321"/>
      <c r="N54" s="1321"/>
      <c r="P54" s="1322"/>
      <c r="Q54" s="1323"/>
      <c r="R54" s="1322"/>
      <c r="S54" s="1328"/>
      <c r="T54" s="1331" t="s">
        <v>430</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194</v>
      </c>
      <c r="B55" s="1349" t="s">
        <v>195</v>
      </c>
      <c r="C55" s="1320"/>
      <c r="D55" s="1320"/>
      <c r="E55" s="2265"/>
      <c r="F55" s="2264"/>
      <c r="G55" s="1320"/>
      <c r="H55" s="1320"/>
      <c r="I55" s="1320"/>
      <c r="J55" s="1320"/>
      <c r="K55" s="1320"/>
      <c r="L55" s="1345"/>
      <c r="M55" s="1327"/>
      <c r="N55" s="1327"/>
      <c r="P55" s="1322"/>
      <c r="Q55" s="1323"/>
      <c r="R55" s="1322"/>
      <c r="S55" s="1328"/>
      <c r="T55" s="1331" t="s">
        <v>251</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194</v>
      </c>
      <c r="B56" s="1349"/>
      <c r="C56" s="1349"/>
      <c r="D56" s="1349"/>
      <c r="E56" s="2264"/>
      <c r="F56" s="1349"/>
      <c r="G56" s="1349"/>
      <c r="H56" s="1349"/>
      <c r="I56" s="1349"/>
      <c r="J56" s="1349"/>
      <c r="K56" s="1349"/>
      <c r="L56" s="1352"/>
      <c r="M56" s="1327"/>
      <c r="N56" s="1327"/>
      <c r="O56" s="524"/>
      <c r="P56" s="386"/>
      <c r="Q56" s="1350"/>
      <c r="R56" s="386"/>
      <c r="S56" s="1328"/>
      <c r="T56" s="1331" t="s">
        <v>252</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264</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78.7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75</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39.7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38</v>
      </c>
    </row>
    <row customHeight="1" ht="22.5" hidden="1">
      <c r="A65" s="1166" t="s">
        <v>83</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0</v>
      </c>
      <c r="AE65" s="1161">
        <v>24</v>
      </c>
      <c r="AF65" s="1161">
        <v>0</v>
      </c>
      <c r="AG65" s="1161">
        <v>0</v>
      </c>
      <c r="AH65" s="1161">
        <v>11</v>
      </c>
      <c r="AI65" s="1161">
        <v>3</v>
      </c>
      <c r="AJ65" s="1161">
        <v>11</v>
      </c>
      <c r="AK65" s="1161">
        <v>0</v>
      </c>
      <c r="AL65" s="1161">
        <v>4</v>
      </c>
      <c r="AM65" s="1161">
        <v>115</v>
      </c>
      <c r="AN65" s="517">
        <v>10</v>
      </c>
      <c r="AO65" s="517">
        <v>10</v>
      </c>
      <c r="AP65" s="517">
        <v>10</v>
      </c>
      <c r="AQ65" s="517">
        <v>10</v>
      </c>
      <c r="AR65" s="517">
        <v>10</v>
      </c>
      <c r="AS65" s="1161">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D6FA91-66DD-70CE-0843-725F1CE818D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8.421875" hidden="1" customWidth="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125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412</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413</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414</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415</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416</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417</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418</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419</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422</v>
      </c>
      <c r="M7" s="543"/>
      <c r="N7" s="1372"/>
      <c r="P7" s="2263"/>
      <c r="Q7" s="2263">
        <v>1</v>
      </c>
      <c r="R7" s="363"/>
      <c r="S7" s="1342">
        <f>$J7</f>
      </c>
      <c r="T7" s="292" t="s">
        <v>423</v>
      </c>
      <c r="U7" s="306"/>
      <c r="V7" s="2251"/>
      <c r="W7" s="2252"/>
      <c r="X7" s="2252"/>
      <c r="Y7" s="2252"/>
      <c r="Z7" s="2252"/>
      <c r="AA7" s="2252"/>
      <c r="AB7" s="2252"/>
      <c r="AC7" s="2253"/>
      <c r="AD7" s="2251"/>
      <c r="AE7" s="2252"/>
      <c r="AF7" s="2252"/>
      <c r="AG7" s="2252"/>
      <c r="AH7" s="2252"/>
      <c r="AI7" s="2252"/>
      <c r="AJ7" s="2252"/>
      <c r="AK7" s="2252"/>
      <c r="AL7" s="2253"/>
      <c r="AM7" s="1264" t="s">
        <v>424</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425</v>
      </c>
      <c r="M8" s="543"/>
      <c r="N8" s="1372"/>
      <c r="O8" s="1372"/>
      <c r="P8" s="2263"/>
      <c r="Q8" s="2263"/>
      <c r="R8" s="363">
        <v>1</v>
      </c>
      <c r="S8" s="1342">
        <f>$K8</f>
      </c>
      <c r="T8" s="1353"/>
      <c r="U8" s="306"/>
      <c r="V8" s="757"/>
      <c r="W8" s="331"/>
      <c r="X8" s="757"/>
      <c r="Y8" s="1263"/>
      <c r="Z8" s="2271"/>
      <c r="AA8" s="2113" t="s">
        <v>62</v>
      </c>
      <c r="AB8" s="2271"/>
      <c r="AC8" s="2113" t="s">
        <v>62</v>
      </c>
      <c r="AD8" s="757"/>
      <c r="AE8" s="331"/>
      <c r="AF8" s="757"/>
      <c r="AG8" s="1263"/>
      <c r="AH8" s="2271"/>
      <c r="AI8" s="2113" t="s">
        <v>62</v>
      </c>
      <c r="AJ8" s="2271"/>
      <c r="AK8" s="2113" t="s">
        <v>62</v>
      </c>
      <c r="AL8" s="331"/>
      <c r="AM8" s="2259" t="s">
        <v>426</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427</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371" t="s">
        <v>428</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430</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251</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252</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62</v>
      </c>
      <c r="AJ17" s="2273"/>
      <c r="AK17" s="2274" t="s">
        <v>62</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431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432</v>
      </c>
      <c r="P22" s="1368"/>
      <c r="Q22" s="1377"/>
      <c r="R22" s="1377"/>
      <c r="S22" s="735"/>
      <c r="T22" s="1166" t="s">
        <v>433</v>
      </c>
      <c r="AA22" s="192" t="s">
        <v>434</v>
      </c>
      <c r="AC22" s="192" t="s">
        <v>435</v>
      </c>
      <c r="AD22" s="1166" t="s">
        <v>433</v>
      </c>
      <c r="AI22" s="192" t="s">
        <v>436</v>
      </c>
      <c r="AK22" s="192" t="s">
        <v>435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63">
      <c r="Q26" s="382"/>
      <c r="R26" s="382"/>
      <c r="S26" s="225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60</v>
      </c>
    </row>
    <row customHeight="1" ht="14.699999999999998">
      <c r="Q27" s="382"/>
      <c r="R27" s="382"/>
      <c r="S27" s="2255" t="str">
        <f>IF(org=0,"Не определено",org)</f>
        <v>АО «ДГК» СП «Нерюнгринская ГРЭС»</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Государственный комитет по ценовой политике Республики Саха (Якутия)</v>
      </c>
      <c r="W29" s="2257"/>
      <c r="X29" s="2257"/>
      <c r="Y29" s="2257"/>
      <c r="Z29" s="2257"/>
      <c r="AA29" s="2257"/>
      <c r="AB29" s="2257"/>
      <c r="AC29" s="332"/>
      <c r="AD29" s="2257" t="str">
        <f>IF(TITLE_NAME_OR_PR_CHANGE="",IF(TITLE_NAME_OR_PR="","",TITLE_NAME_OR_PR),TITLE_NAME_OR_PR_CHANGE)</f>
        <v>Государственный комитет по ценовой политике Республики Саха (Якутия)</v>
      </c>
      <c r="AE29" s="2257"/>
      <c r="AF29" s="2257"/>
      <c r="AG29" s="2257"/>
      <c r="AH29" s="2257"/>
      <c r="AI29" s="2257"/>
      <c r="AJ29" s="2257"/>
      <c r="AK29" s="332"/>
      <c r="AL29" s="332"/>
      <c r="AM29" s="286"/>
      <c r="AN29" s="374"/>
      <c r="AO29" s="374"/>
      <c r="AP29" s="374"/>
      <c r="AQ29" s="374"/>
      <c r="AR29" s="374"/>
      <c r="AS29" s="424">
        <v>0</v>
      </c>
    </row>
    <row s="1859" customFormat="1" customHeight="1" ht="18.75">
      <c r="A30" s="1374"/>
      <c r="B30" s="1374"/>
      <c r="C30" s="1374"/>
      <c r="D30" s="1374"/>
      <c r="E30" s="1374"/>
      <c r="F30" s="1374"/>
      <c r="G30" s="1374"/>
      <c r="H30" s="1374"/>
      <c r="I30" s="1374"/>
      <c r="J30" s="1374"/>
      <c r="K30" s="1374"/>
      <c r="L30" s="1375"/>
      <c r="M30" s="1374"/>
      <c r="N30" s="1374"/>
      <c r="O30" s="1374"/>
      <c r="S30" s="2256" t="s">
        <v>437</v>
      </c>
      <c r="T30" s="2256"/>
      <c r="U30" s="1378"/>
      <c r="V30" s="2270" t="str">
        <f>IF(TITLE_DATE_PR_CHANGE="",IF(TITLE_DATE_PR="","",TITLE_DATE_PR),TITLE_DATE_PR_CHANGE)</f>
        <v>46003.502546296295</v>
      </c>
      <c r="W30" s="2270"/>
      <c r="X30" s="2270"/>
      <c r="Y30" s="2270"/>
      <c r="Z30" s="2270"/>
      <c r="AA30" s="2270"/>
      <c r="AB30" s="2270"/>
      <c r="AC30" s="332"/>
      <c r="AD30" s="2270" t="str">
        <f>IF(TITLE_DATE_PR_CHANGE="",IF(TITLE_DATE_PR="","",TITLE_DATE_PR),TITLE_DATE_PR_CHANGE)</f>
        <v>46003.502546296295</v>
      </c>
      <c r="AE30" s="2270"/>
      <c r="AF30" s="2270"/>
      <c r="AG30" s="2270"/>
      <c r="AH30" s="2270"/>
      <c r="AI30" s="2270"/>
      <c r="AJ30" s="2270"/>
      <c r="AK30" s="332"/>
      <c r="AL30" s="332"/>
      <c r="AM30" s="286"/>
      <c r="AN30" s="374"/>
      <c r="AO30" s="374"/>
      <c r="AP30" s="374"/>
      <c r="AQ30" s="374"/>
      <c r="AR30" s="374"/>
      <c r="AS30" s="424">
        <v>0</v>
      </c>
    </row>
    <row s="1859" customFormat="1" customHeight="1" ht="18.75">
      <c r="A31" s="1374"/>
      <c r="B31" s="1374"/>
      <c r="C31" s="1374"/>
      <c r="D31" s="1374"/>
      <c r="E31" s="1374"/>
      <c r="F31" s="1374"/>
      <c r="G31" s="1374"/>
      <c r="H31" s="1374"/>
      <c r="I31" s="1374"/>
      <c r="J31" s="1374"/>
      <c r="K31" s="1374"/>
      <c r="L31" s="1375"/>
      <c r="M31" s="1374"/>
      <c r="N31" s="1374"/>
      <c r="O31" s="1374"/>
      <c r="S31" s="2256" t="s">
        <v>438</v>
      </c>
      <c r="T31" s="2256"/>
      <c r="U31" s="1378"/>
      <c r="V31" s="2257" t="str">
        <f>IF(TITLE_NUMBER_PR_CHANGE="",IF(TITLE_NUMBER_PR="","",TITLE_NUMBER_PR),TITLE_NUMBER_PR_CHANGE)</f>
        <v>№ 222</v>
      </c>
      <c r="W31" s="2257"/>
      <c r="X31" s="2257"/>
      <c r="Y31" s="2257"/>
      <c r="Z31" s="2257"/>
      <c r="AA31" s="2257"/>
      <c r="AB31" s="2257"/>
      <c r="AC31" s="332"/>
      <c r="AD31" s="2257" t="str">
        <f>IF(TITLE_NUMBER_PR_CHANGE="",IF(TITLE_NUMBER_PR="","",TITLE_NUMBER_PR),TITLE_NUMBER_PR_CHANGE)</f>
        <v>№ 222</v>
      </c>
      <c r="AE31" s="2257"/>
      <c r="AF31" s="2257"/>
      <c r="AG31" s="2257"/>
      <c r="AH31" s="2257"/>
      <c r="AI31" s="2257"/>
      <c r="AJ31" s="2257"/>
      <c r="AK31" s="332"/>
      <c r="AL31" s="332"/>
      <c r="AM31" s="286"/>
      <c r="AN31" s="374"/>
      <c r="AO31" s="374"/>
      <c r="AP31" s="374"/>
      <c r="AQ31" s="374"/>
      <c r="AR31" s="374"/>
      <c r="AS31" s="424">
        <v>0</v>
      </c>
    </row>
    <row s="1859" customFormat="1" customHeight="1" ht="18.75">
      <c r="A32" s="1374"/>
      <c r="B32" s="1374"/>
      <c r="C32" s="1374"/>
      <c r="D32" s="1374"/>
      <c r="E32" s="1374"/>
      <c r="F32" s="1374"/>
      <c r="G32" s="1374"/>
      <c r="H32" s="1374"/>
      <c r="I32" s="1374"/>
      <c r="J32" s="1374"/>
      <c r="K32" s="1374"/>
      <c r="L32" s="1375"/>
      <c r="M32" s="1374"/>
      <c r="N32" s="1374"/>
      <c r="O32" s="1374"/>
      <c r="S32" s="2256" t="s">
        <v>44</v>
      </c>
      <c r="T32" s="2256"/>
      <c r="U32" s="1378"/>
      <c r="V32" s="2257" t="str">
        <f>IF(TITLE_IST_PUB_CHANGE="",IF(TITLE_IST_PUB="","",TITLE_IST_PUB),TITLE_IST_PUB_CHANGE)</f>
        <v>Официальный интернет-портал правовой информации http://pravo.gov.ru/ </v>
      </c>
      <c r="W32" s="2257"/>
      <c r="X32" s="2257"/>
      <c r="Y32" s="2257"/>
      <c r="Z32" s="2257"/>
      <c r="AA32" s="2257"/>
      <c r="AB32" s="2257"/>
      <c r="AC32" s="332"/>
      <c r="AD32" s="2257" t="str">
        <f>IF(TITLE_IST_PUB_CHANGE="",IF(TITLE_IST_PUB="","",TITLE_IST_PUB),TITLE_IST_PUB_CHANGE)</f>
        <v>Официальный интернет-портал правовой информации http://pravo.gov.ru/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439</v>
      </c>
      <c r="T34" s="2256"/>
      <c r="U34" s="1378"/>
      <c r="V34" s="2270" t="str">
        <f>IF(TITLE_DATE_PR_CHANGE="",IF(TITLE_DATE_PR="","",TITLE_DATE_PR),TITLE_DATE_PR_CHANGE)</f>
        <v>46003.502546296295</v>
      </c>
      <c r="W34" s="2270"/>
      <c r="X34" s="2270"/>
      <c r="Y34" s="2270"/>
      <c r="Z34" s="2270"/>
      <c r="AA34" s="2270"/>
      <c r="AB34" s="2270"/>
      <c r="AC34" s="332"/>
      <c r="AD34" s="2270" t="str">
        <f>IF(TITLE_DATE_PR_CHANGE="",IF(TITLE_DATE_PR="","",TITLE_DATE_PR),TITLE_DATE_PR_CHANGE)</f>
        <v>46003.502546296295</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440</v>
      </c>
      <c r="T35" s="2256"/>
      <c r="U35" s="1378"/>
      <c r="V35" s="2257" t="str">
        <f>IF(TITLE_NUMBER_PR_CHANGE="",IF(TITLE_NUMBER_PR="","",TITLE_NUMBER_PR),TITLE_NUMBER_PR_CHANGE)</f>
        <v>№ 222</v>
      </c>
      <c r="W35" s="2257"/>
      <c r="X35" s="2257"/>
      <c r="Y35" s="2257"/>
      <c r="Z35" s="2257"/>
      <c r="AA35" s="2257"/>
      <c r="AB35" s="2257"/>
      <c r="AC35" s="332"/>
      <c r="AD35" s="2257" t="str">
        <f>IF(TITLE_NUMBER_PR_CHANGE="",IF(TITLE_NUMBER_PR="","",TITLE_NUMBER_PR),TITLE_NUMBER_PR_CHANGE)</f>
        <v>№ 222</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441</v>
      </c>
      <c r="AD36" s="332"/>
      <c r="AE36" s="332"/>
      <c r="AF36" s="332"/>
      <c r="AG36" s="332"/>
      <c r="AH36" s="332"/>
      <c r="AI36" s="332"/>
      <c r="AJ36" s="332"/>
      <c r="AK36" s="284" t="s">
        <v>441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316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317</v>
      </c>
      <c r="AS38" s="1161">
        <v>14</v>
      </c>
    </row>
    <row customHeight="1" ht="14.699999999999998">
      <c r="Q39" s="382"/>
      <c r="R39" s="382"/>
      <c r="S39" s="2279" t="s">
        <v>89</v>
      </c>
      <c r="T39" s="2215" t="s">
        <v>442</v>
      </c>
      <c r="U39" s="307"/>
      <c r="V39" s="2280" t="s">
        <v>443</v>
      </c>
      <c r="W39" s="2281"/>
      <c r="X39" s="2281"/>
      <c r="Y39" s="2281"/>
      <c r="Z39" s="2281"/>
      <c r="AA39" s="2281"/>
      <c r="AB39" s="2282"/>
      <c r="AC39" s="2283" t="s">
        <v>444</v>
      </c>
      <c r="AD39" s="2280" t="s">
        <v>443</v>
      </c>
      <c r="AE39" s="2281"/>
      <c r="AF39" s="2281"/>
      <c r="AG39" s="2281"/>
      <c r="AH39" s="2281"/>
      <c r="AI39" s="2281"/>
      <c r="AJ39" s="2282"/>
      <c r="AK39" s="2283" t="s">
        <v>445</v>
      </c>
      <c r="AL39" s="2286" t="s">
        <v>446</v>
      </c>
      <c r="AM39" s="2133"/>
      <c r="AS39" s="1161">
        <v>14</v>
      </c>
    </row>
    <row customHeight="1" ht="35.699999999999996">
      <c r="Q40" s="382"/>
      <c r="R40" s="382"/>
      <c r="S40" s="2279"/>
      <c r="T40" s="2215"/>
      <c r="U40" s="1037"/>
      <c r="V40" s="2266" t="s">
        <v>447</v>
      </c>
      <c r="W40" s="2289"/>
      <c r="X40" s="2268" t="s">
        <v>449</v>
      </c>
      <c r="Y40" s="2269"/>
      <c r="Z40" s="2268" t="s">
        <v>450</v>
      </c>
      <c r="AA40" s="2275"/>
      <c r="AB40" s="2269"/>
      <c r="AC40" s="2284"/>
      <c r="AD40" s="2266" t="s">
        <v>463</v>
      </c>
      <c r="AE40" s="2289"/>
      <c r="AF40" s="2268" t="s">
        <v>449</v>
      </c>
      <c r="AG40" s="2269"/>
      <c r="AH40" s="2268" t="s">
        <v>450</v>
      </c>
      <c r="AI40" s="2275"/>
      <c r="AJ40" s="2269"/>
      <c r="AK40" s="2284"/>
      <c r="AL40" s="2287"/>
      <c r="AM40" s="2133"/>
      <c r="AS40" s="1161">
        <v>34</v>
      </c>
    </row>
    <row customHeight="1" ht="35.699999999999996">
      <c r="A41" s="1376"/>
      <c r="B41" s="1376" t="s">
        <v>137</v>
      </c>
      <c r="C41" s="1376" t="s">
        <v>138</v>
      </c>
      <c r="D41" s="1376" t="s">
        <v>139</v>
      </c>
      <c r="E41" s="1370" t="s">
        <v>451</v>
      </c>
      <c r="F41" s="1370" t="s">
        <v>452</v>
      </c>
      <c r="G41" s="1370" t="s">
        <v>453</v>
      </c>
      <c r="H41" s="1370" t="s">
        <v>454</v>
      </c>
      <c r="I41" s="1370" t="s">
        <v>455</v>
      </c>
      <c r="J41" s="1370" t="s">
        <v>456</v>
      </c>
      <c r="K41" s="1370" t="s">
        <v>457</v>
      </c>
      <c r="L41" s="1370" t="s">
        <v>432</v>
      </c>
      <c r="Q41" s="382"/>
      <c r="R41" s="382"/>
      <c r="S41" s="2279"/>
      <c r="T41" s="2215"/>
      <c r="U41" s="308"/>
      <c r="V41" s="2267"/>
      <c r="W41" s="2290"/>
      <c r="X41" s="1228" t="s">
        <v>458</v>
      </c>
      <c r="Y41" s="1228" t="s">
        <v>459</v>
      </c>
      <c r="Z41" s="1344" t="s">
        <v>460</v>
      </c>
      <c r="AA41" s="2276" t="s">
        <v>461</v>
      </c>
      <c r="AB41" s="2277"/>
      <c r="AC41" s="2285"/>
      <c r="AD41" s="2267"/>
      <c r="AE41" s="2290"/>
      <c r="AF41" s="1228" t="s">
        <v>458</v>
      </c>
      <c r="AG41" s="1228" t="s">
        <v>459</v>
      </c>
      <c r="AH41" s="1344" t="s">
        <v>460</v>
      </c>
      <c r="AI41" s="2276" t="s">
        <v>461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111</v>
      </c>
      <c r="T42" s="1261" t="s">
        <v>112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170</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125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c r="AS43" s="1161">
        <v>21</v>
      </c>
    </row>
    <row customHeight="1" ht="22.049999999999997">
      <c r="A44" s="1369" t="s">
        <v>170</v>
      </c>
      <c r="B44" s="1369" t="s">
        <v>171</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413</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414</v>
      </c>
      <c r="AO44" s="506"/>
      <c r="AP44" s="506" t="str">
        <f>IF(T44="","",T44)</f>
        <v>Территория действия тарифа</v>
      </c>
      <c r="AQ44" s="506"/>
      <c r="AR44" s="506"/>
      <c r="AS44" s="1161">
        <v>21</v>
      </c>
    </row>
    <row customHeight="1" ht="24">
      <c r="A45" s="1369" t="s">
        <v>170</v>
      </c>
      <c r="B45" s="1369" t="s">
        <v>171</v>
      </c>
      <c r="C45" s="1369" t="s">
        <v>172</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415</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416</v>
      </c>
      <c r="AO45" s="506"/>
      <c r="AP45" s="506" t="str">
        <f>IF(T45="","",T45)</f>
        <v>Наименование системы теплоснабжения </v>
      </c>
      <c r="AQ45" s="506"/>
      <c r="AR45" s="506"/>
      <c r="AS45" s="1161">
        <v>23</v>
      </c>
    </row>
    <row customHeight="1" ht="22.049999999999997">
      <c r="A46" s="1369" t="s">
        <v>170</v>
      </c>
      <c r="B46" s="1369" t="s">
        <v>171</v>
      </c>
      <c r="C46" s="1369" t="s">
        <v>172</v>
      </c>
      <c r="D46" s="1369" t="s">
        <v>173</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417</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418</v>
      </c>
      <c r="AO46" s="506"/>
      <c r="AP46" s="506" t="str">
        <f>IF(T46="","",T46)</f>
        <v>Источник тепловой энергии  </v>
      </c>
      <c r="AQ46" s="506"/>
      <c r="AR46" s="506"/>
      <c r="AS46" s="1161">
        <v>21</v>
      </c>
    </row>
    <row s="1648" customFormat="1" customHeight="1" ht="0">
      <c r="A47" s="1349" t="s">
        <v>170</v>
      </c>
      <c r="B47" s="1349" t="s">
        <v>171</v>
      </c>
      <c r="C47" s="1349" t="s">
        <v>172</v>
      </c>
      <c r="D47" s="1349" t="s">
        <v>173</v>
      </c>
      <c r="E47" s="2265"/>
      <c r="F47" s="2265"/>
      <c r="G47" s="2265"/>
      <c r="H47" s="2265"/>
      <c r="I47" s="2262" t="str">
        <f>S46&amp;".1"</f>
        <v>....1</v>
      </c>
      <c r="J47" s="1349"/>
      <c r="K47" s="1349"/>
      <c r="L47" s="1352" t="s">
        <v>419</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170</v>
      </c>
      <c r="B48" s="1369" t="s">
        <v>171</v>
      </c>
      <c r="C48" s="1369" t="s">
        <v>172</v>
      </c>
      <c r="D48" s="1369" t="s">
        <v>173</v>
      </c>
      <c r="E48" s="2265"/>
      <c r="F48" s="2265"/>
      <c r="G48" s="2265"/>
      <c r="H48" s="2265"/>
      <c r="I48" s="2292"/>
      <c r="J48" s="2262" t="str">
        <f>S46&amp;".1"</f>
        <v>....1</v>
      </c>
      <c r="K48" s="1369"/>
      <c r="L48" s="1370" t="s">
        <v>422</v>
      </c>
      <c r="P48" s="2263"/>
      <c r="Q48" s="2263">
        <v>1</v>
      </c>
      <c r="R48" s="363"/>
      <c r="S48" s="1342" t="str">
        <f>$J48</f>
        <v>....1</v>
      </c>
      <c r="T48" s="292" t="s">
        <v>423</v>
      </c>
      <c r="U48" s="306"/>
      <c r="V48" s="2251"/>
      <c r="W48" s="2252"/>
      <c r="X48" s="2252"/>
      <c r="Y48" s="2252"/>
      <c r="Z48" s="2252"/>
      <c r="AA48" s="2252"/>
      <c r="AB48" s="2252"/>
      <c r="AC48" s="2253"/>
      <c r="AD48" s="2251"/>
      <c r="AE48" s="2252"/>
      <c r="AF48" s="2252"/>
      <c r="AG48" s="2252"/>
      <c r="AH48" s="2252"/>
      <c r="AI48" s="2252"/>
      <c r="AJ48" s="2252"/>
      <c r="AK48" s="2252"/>
      <c r="AL48" s="2253"/>
      <c r="AM48" s="1264" t="s">
        <v>424</v>
      </c>
      <c r="AO48" s="506"/>
      <c r="AP48" s="506" t="str">
        <f>IF(T48="","",T48)</f>
        <v>Группа потребителей</v>
      </c>
      <c r="AQ48" s="506"/>
      <c r="AR48" s="506"/>
      <c r="AS48" s="1161">
        <v>21</v>
      </c>
    </row>
    <row customHeight="1" ht="22.049999999999997">
      <c r="A49" s="1369" t="s">
        <v>170</v>
      </c>
      <c r="B49" s="1369" t="s">
        <v>171</v>
      </c>
      <c r="C49" s="1369" t="s">
        <v>172</v>
      </c>
      <c r="D49" s="1369" t="s">
        <v>173</v>
      </c>
      <c r="E49" s="2265"/>
      <c r="F49" s="2265"/>
      <c r="G49" s="2265"/>
      <c r="H49" s="2265"/>
      <c r="I49" s="2292"/>
      <c r="J49" s="2292"/>
      <c r="K49" s="2262" t="str">
        <f>J48&amp;".1"</f>
        <v>....1.1</v>
      </c>
      <c r="L49" s="1370" t="s">
        <v>425</v>
      </c>
      <c r="P49" s="2263"/>
      <c r="Q49" s="2263"/>
      <c r="R49" s="363">
        <v>1</v>
      </c>
      <c r="S49" s="1342" t="str">
        <f>$K49</f>
        <v>....1.1</v>
      </c>
      <c r="T49" s="1353"/>
      <c r="U49" s="306"/>
      <c r="V49" s="757"/>
      <c r="W49" s="331"/>
      <c r="X49" s="757"/>
      <c r="Y49" s="1263"/>
      <c r="Z49" s="2271"/>
      <c r="AA49" s="2113" t="s">
        <v>62</v>
      </c>
      <c r="AB49" s="2271"/>
      <c r="AC49" s="2113" t="s">
        <v>62</v>
      </c>
      <c r="AD49" s="757"/>
      <c r="AE49" s="331"/>
      <c r="AF49" s="757"/>
      <c r="AG49" s="1263"/>
      <c r="AH49" s="2271"/>
      <c r="AI49" s="2113" t="s">
        <v>62</v>
      </c>
      <c r="AJ49" s="2293"/>
      <c r="AK49" s="2113" t="s">
        <v>62</v>
      </c>
      <c r="AL49" s="1354"/>
      <c r="AM49" s="2259" t="s">
        <v>464</v>
      </c>
      <c r="AN49" s="517">
        <f>STRCHECKDATE(V50:AL50)</f>
      </c>
      <c r="AO49" s="506"/>
      <c r="AP49" s="506" t="str">
        <f>IF(T49="","",T49)</f>
        <v/>
      </c>
      <c r="AQ49" s="506"/>
      <c r="AR49" s="506"/>
      <c r="AS49" s="1161">
        <v>21</v>
      </c>
    </row>
    <row customHeight="1" ht="1.05">
      <c r="A50" s="1369" t="s">
        <v>170</v>
      </c>
      <c r="B50" s="1369" t="s">
        <v>171</v>
      </c>
      <c r="C50" s="1369" t="s">
        <v>172</v>
      </c>
      <c r="D50" s="1369" t="s">
        <v>173</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170</v>
      </c>
      <c r="B51" s="1369" t="s">
        <v>171</v>
      </c>
      <c r="C51" s="1369" t="s">
        <v>172</v>
      </c>
      <c r="D51" s="1369" t="s">
        <v>173</v>
      </c>
      <c r="E51" s="2265"/>
      <c r="F51" s="2265"/>
      <c r="G51" s="2265"/>
      <c r="H51" s="2265"/>
      <c r="I51" s="2292"/>
      <c r="J51" s="2262"/>
      <c r="K51" s="1369"/>
      <c r="L51" s="1370"/>
      <c r="P51" s="2263"/>
      <c r="Q51" s="2263"/>
      <c r="R51" s="362"/>
      <c r="S51" s="1284"/>
      <c r="T51" s="293" t="s">
        <v>427</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170</v>
      </c>
      <c r="B52" s="1369" t="s">
        <v>171</v>
      </c>
      <c r="C52" s="1369" t="s">
        <v>172</v>
      </c>
      <c r="D52" s="1369" t="s">
        <v>173</v>
      </c>
      <c r="E52" s="2265"/>
      <c r="F52" s="2265"/>
      <c r="G52" s="2265"/>
      <c r="H52" s="2265"/>
      <c r="I52" s="2262"/>
      <c r="J52" s="1369"/>
      <c r="K52" s="1369"/>
      <c r="L52" s="1370"/>
      <c r="P52" s="2263"/>
      <c r="Q52" s="1337"/>
      <c r="R52" s="362"/>
      <c r="S52" s="1284"/>
      <c r="T52" s="371" t="s">
        <v>428</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170</v>
      </c>
      <c r="B53" s="1369" t="s">
        <v>171</v>
      </c>
      <c r="C53" s="1369" t="s">
        <v>172</v>
      </c>
      <c r="D53" s="1369" t="s">
        <v>173</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170</v>
      </c>
      <c r="B54" s="1349" t="s">
        <v>171</v>
      </c>
      <c r="C54" s="1349" t="s">
        <v>172</v>
      </c>
      <c r="D54" s="1320"/>
      <c r="E54" s="2265"/>
      <c r="F54" s="2265"/>
      <c r="G54" s="2264"/>
      <c r="H54" s="1320"/>
      <c r="I54" s="1320"/>
      <c r="J54" s="1320"/>
      <c r="K54" s="1320"/>
      <c r="L54" s="1345"/>
      <c r="M54" s="1321"/>
      <c r="N54" s="1321"/>
      <c r="P54" s="1322"/>
      <c r="Q54" s="1323"/>
      <c r="R54" s="1322"/>
      <c r="S54" s="1328"/>
      <c r="T54" s="1331" t="s">
        <v>430</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170</v>
      </c>
      <c r="B55" s="1349" t="s">
        <v>171</v>
      </c>
      <c r="C55" s="1320"/>
      <c r="D55" s="1320"/>
      <c r="E55" s="2265"/>
      <c r="F55" s="2264"/>
      <c r="G55" s="1320"/>
      <c r="H55" s="1320"/>
      <c r="I55" s="1320"/>
      <c r="J55" s="1320"/>
      <c r="K55" s="1320"/>
      <c r="L55" s="1345"/>
      <c r="M55" s="1327"/>
      <c r="N55" s="1327"/>
      <c r="P55" s="1322"/>
      <c r="Q55" s="1323"/>
      <c r="R55" s="1322"/>
      <c r="S55" s="1328"/>
      <c r="T55" s="1331" t="s">
        <v>251</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170</v>
      </c>
      <c r="B56" s="1349"/>
      <c r="C56" s="1349"/>
      <c r="D56" s="1349"/>
      <c r="E56" s="2264"/>
      <c r="F56" s="1349"/>
      <c r="G56" s="1349"/>
      <c r="H56" s="1349"/>
      <c r="I56" s="1349"/>
      <c r="J56" s="1349"/>
      <c r="K56" s="1349"/>
      <c r="L56" s="1352"/>
      <c r="M56" s="1327"/>
      <c r="N56" s="1327"/>
      <c r="O56" s="524"/>
      <c r="P56" s="386"/>
      <c r="Q56" s="1350"/>
      <c r="R56" s="386"/>
      <c r="S56" s="1328"/>
      <c r="T56" s="1331" t="s">
        <v>252</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264</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19.9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19</v>
      </c>
    </row>
    <row customHeight="1" ht="29.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28</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83</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9E6B1C-02C7-EC99-29BD-3C3840C3FD8A}"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1" s="1877"/>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125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412</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413</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414</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2014">
        <f>INDEX(PT_DIFFERENTIATION_NUM_CS,MATCH(C4,PT_DIFFERENTIATION_CS_ID,0))</f>
      </c>
      <c r="T4" s="2018" t="s">
        <v>415</v>
      </c>
      <c r="U4" s="2019"/>
      <c r="V4" s="2306"/>
      <c r="W4" s="2307"/>
      <c r="X4" s="2307"/>
      <c r="Y4" s="2307"/>
      <c r="Z4" s="2307"/>
      <c r="AA4" s="2307"/>
      <c r="AB4" s="2307"/>
      <c r="AC4" s="2308"/>
      <c r="AD4" s="2306">
        <f>INDEX(PT_DIFFERENTIATION_CS,MATCH(C4,PT_DIFFERENTIATION_CS_ID,0))</f>
      </c>
      <c r="AE4" s="2307"/>
      <c r="AF4" s="2307"/>
      <c r="AG4" s="2307"/>
      <c r="AH4" s="2307"/>
      <c r="AI4" s="2307"/>
      <c r="AJ4" s="2307"/>
      <c r="AK4" s="2307"/>
      <c r="AL4" s="2308"/>
      <c r="AM4" s="1264" t="s">
        <v>416</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1641"/>
      <c r="S5" s="2013">
        <f>INDEX(PT_DIFFERENTIATION_NUM_IST_TE,MATCH(D5,PT_DIFFERENTIATION_IST_TE_ID,0))</f>
      </c>
      <c r="T5" s="316" t="s">
        <v>417</v>
      </c>
      <c r="U5" s="306"/>
      <c r="V5" s="2309"/>
      <c r="W5" s="2309"/>
      <c r="X5" s="2309"/>
      <c r="Y5" s="2309"/>
      <c r="Z5" s="2309"/>
      <c r="AA5" s="2309"/>
      <c r="AB5" s="2309"/>
      <c r="AC5" s="2309"/>
      <c r="AD5" s="2309">
        <f>INDEX(PT_DIFFERENTIATION_IST_TE,MATCH(D5,PT_DIFFERENTIATION_IST_TE_ID,0))</f>
      </c>
      <c r="AE5" s="2309"/>
      <c r="AF5" s="2309"/>
      <c r="AG5" s="2309"/>
      <c r="AH5" s="2309"/>
      <c r="AI5" s="2309"/>
      <c r="AJ5" s="2309"/>
      <c r="AK5" s="2309"/>
      <c r="AL5" s="2309"/>
      <c r="AM5" s="2016" t="s">
        <v>418</v>
      </c>
      <c r="AO5" s="506"/>
      <c r="AP5" s="506" t="str">
        <f>IF(T5="","",T5)</f>
        <v>Источник тепловой энергии  </v>
      </c>
      <c r="AQ5" s="506"/>
      <c r="AR5" s="506"/>
      <c r="AS5" s="1161">
        <v>0</v>
      </c>
    </row>
    <row customHeight="1" ht="0.75" hidden="1">
      <c r="A6" s="1369"/>
      <c r="B6" s="1369"/>
      <c r="C6" s="1369"/>
      <c r="D6" s="1369"/>
      <c r="E6" s="2265"/>
      <c r="F6" s="2265"/>
      <c r="G6" s="2265"/>
      <c r="H6" s="2265"/>
      <c r="I6" s="2262">
        <f>S5&amp;".1"</f>
      </c>
      <c r="J6" s="1369"/>
      <c r="K6" s="1369"/>
      <c r="L6" s="1370" t="s">
        <v>419</v>
      </c>
      <c r="M6" s="543"/>
      <c r="P6" s="2263">
        <v>1</v>
      </c>
      <c r="Q6" s="1337"/>
      <c r="R6" s="2012"/>
      <c r="S6" s="1048"/>
      <c r="T6" s="1389"/>
      <c r="U6" s="1390"/>
      <c r="V6" s="2310"/>
      <c r="W6" s="2310"/>
      <c r="X6" s="2310"/>
      <c r="Y6" s="2310"/>
      <c r="Z6" s="2310"/>
      <c r="AA6" s="2310"/>
      <c r="AB6" s="2310"/>
      <c r="AC6" s="2310"/>
      <c r="AD6" s="2310"/>
      <c r="AE6" s="2310"/>
      <c r="AF6" s="2310"/>
      <c r="AG6" s="2310"/>
      <c r="AH6" s="2310"/>
      <c r="AI6" s="2310"/>
      <c r="AJ6" s="2310"/>
      <c r="AK6" s="2310"/>
      <c r="AL6" s="2310"/>
      <c r="AM6" s="2017"/>
      <c r="AO6" s="506"/>
      <c r="AP6" s="506" t="str">
        <f>IF(T6="","",T6)</f>
        <v/>
      </c>
      <c r="AQ6" s="506"/>
      <c r="AR6" s="506"/>
      <c r="AS6" s="1161">
        <v>0</v>
      </c>
    </row>
    <row customHeight="1" ht="84" hidden="1">
      <c r="A7" s="1369"/>
      <c r="B7" s="1369"/>
      <c r="C7" s="1369"/>
      <c r="D7" s="1369"/>
      <c r="E7" s="2265"/>
      <c r="F7" s="2265"/>
      <c r="G7" s="2265"/>
      <c r="H7" s="2265"/>
      <c r="I7" s="2292"/>
      <c r="J7" s="2262">
        <f>I6&amp;".1"</f>
      </c>
      <c r="K7" s="1369"/>
      <c r="L7" s="1370" t="s">
        <v>422</v>
      </c>
      <c r="M7" s="543"/>
      <c r="N7" s="1372"/>
      <c r="P7" s="2263"/>
      <c r="Q7" s="2263">
        <v>1</v>
      </c>
      <c r="R7" s="1648"/>
      <c r="S7" s="2013">
        <f>$J7</f>
      </c>
      <c r="T7" s="292" t="s">
        <v>423</v>
      </c>
      <c r="U7" s="306"/>
      <c r="V7" s="2311"/>
      <c r="W7" s="2311"/>
      <c r="X7" s="2311"/>
      <c r="Y7" s="2311"/>
      <c r="Z7" s="2311"/>
      <c r="AA7" s="2311"/>
      <c r="AB7" s="2311"/>
      <c r="AC7" s="2311"/>
      <c r="AD7" s="2311"/>
      <c r="AE7" s="2311"/>
      <c r="AF7" s="2311"/>
      <c r="AG7" s="2311"/>
      <c r="AH7" s="2311"/>
      <c r="AI7" s="2311"/>
      <c r="AJ7" s="2311"/>
      <c r="AK7" s="2311"/>
      <c r="AL7" s="2311"/>
      <c r="AM7" s="2016" t="s">
        <v>424</v>
      </c>
      <c r="AO7" s="506"/>
      <c r="AP7" s="506" t="str">
        <f>IF(T7="","",T7)</f>
        <v>Группа потребителей</v>
      </c>
      <c r="AQ7" s="506"/>
      <c r="AR7" s="506"/>
      <c r="AS7" s="1161">
        <v>0</v>
      </c>
    </row>
    <row customHeight="1" ht="11.25" hidden="1">
      <c r="A8" s="1369"/>
      <c r="B8" s="1369"/>
      <c r="C8" s="1369"/>
      <c r="D8" s="1369"/>
      <c r="E8" s="2265"/>
      <c r="F8" s="2265"/>
      <c r="G8" s="2265"/>
      <c r="H8" s="2265"/>
      <c r="I8" s="2292"/>
      <c r="J8" s="2292"/>
      <c r="K8" s="2262">
        <f>J7&amp;".1"</f>
      </c>
      <c r="L8" s="1370" t="s">
        <v>425</v>
      </c>
      <c r="M8" s="543"/>
      <c r="N8" s="1372"/>
      <c r="O8" s="1372"/>
      <c r="P8" s="2263"/>
      <c r="Q8" s="2263"/>
      <c r="R8" s="363">
        <v>1</v>
      </c>
      <c r="S8" s="2015">
        <f>$K8</f>
      </c>
      <c r="T8" s="2020"/>
      <c r="U8" s="2021"/>
      <c r="V8" s="2022"/>
      <c r="W8" s="1355"/>
      <c r="X8" s="2022"/>
      <c r="Y8" s="2023"/>
      <c r="Z8" s="2312"/>
      <c r="AA8" s="2118" t="s">
        <v>62</v>
      </c>
      <c r="AB8" s="2312"/>
      <c r="AC8" s="2118" t="s">
        <v>62</v>
      </c>
      <c r="AD8" s="2022"/>
      <c r="AE8" s="1355"/>
      <c r="AF8" s="2022"/>
      <c r="AG8" s="2023"/>
      <c r="AH8" s="2312"/>
      <c r="AI8" s="2118" t="s">
        <v>62</v>
      </c>
      <c r="AJ8" s="2312"/>
      <c r="AK8" s="2118" t="s">
        <v>62</v>
      </c>
      <c r="AL8" s="1355"/>
      <c r="AM8" s="2259" t="s">
        <v>426</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1.25" hidden="1">
      <c r="A10" s="1369"/>
      <c r="B10" s="1369"/>
      <c r="C10" s="1369"/>
      <c r="D10" s="1369"/>
      <c r="E10" s="2265"/>
      <c r="F10" s="2265"/>
      <c r="G10" s="2265"/>
      <c r="H10" s="2265"/>
      <c r="I10" s="2292"/>
      <c r="J10" s="2262"/>
      <c r="K10" s="1369"/>
      <c r="L10" s="1370"/>
      <c r="M10" s="543"/>
      <c r="N10" s="1372"/>
      <c r="P10" s="2263"/>
      <c r="Q10" s="2263"/>
      <c r="R10" s="362"/>
      <c r="S10" s="1284"/>
      <c r="T10" s="293" t="s">
        <v>427</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428</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0.7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430</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251</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252</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62</v>
      </c>
      <c r="AJ17" s="2273"/>
      <c r="AK17" s="2274" t="s">
        <v>62</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431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432</v>
      </c>
      <c r="P22" s="1368"/>
      <c r="Q22" s="1377"/>
      <c r="R22" s="1377"/>
      <c r="S22" s="735"/>
      <c r="T22" s="1166" t="s">
        <v>433</v>
      </c>
      <c r="AA22" s="192" t="s">
        <v>434</v>
      </c>
      <c r="AC22" s="192" t="s">
        <v>435</v>
      </c>
      <c r="AD22" s="1166" t="s">
        <v>433</v>
      </c>
      <c r="AI22" s="192" t="s">
        <v>436</v>
      </c>
      <c r="AK22" s="192" t="s">
        <v>435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4.75">
      <c r="Q26" s="382"/>
      <c r="R26" s="382"/>
      <c r="S26" s="231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3"/>
      <c r="U26" s="2313"/>
      <c r="V26" s="2313"/>
      <c r="W26" s="2313"/>
      <c r="X26" s="2313"/>
      <c r="Y26" s="2313"/>
      <c r="Z26" s="2313"/>
      <c r="AA26" s="2313"/>
      <c r="AB26" s="2313"/>
      <c r="AC26" s="2313"/>
      <c r="AD26" s="2313"/>
      <c r="AE26" s="2313"/>
      <c r="AF26" s="2313"/>
      <c r="AG26" s="2313"/>
      <c r="AH26" s="2313"/>
      <c r="AI26" s="2313"/>
      <c r="AJ26" s="2313"/>
      <c r="AK26" s="1249"/>
      <c r="AS26" s="1161">
        <v>52</v>
      </c>
    </row>
    <row customHeight="1" ht="14.699999999999998">
      <c r="Q27" s="382"/>
      <c r="R27" s="382"/>
      <c r="S27" s="2255" t="str">
        <f>IF(org=0,"Не определено",org)</f>
        <v>АО «ДГК» СП «Нерюнгринская ГРЭС»</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Государственный комитет по ценовой политике Республики Саха (Якутия)</v>
      </c>
      <c r="W29" s="2257"/>
      <c r="X29" s="2257"/>
      <c r="Y29" s="2257"/>
      <c r="Z29" s="2257"/>
      <c r="AA29" s="2257"/>
      <c r="AB29" s="2257"/>
      <c r="AC29" s="332"/>
      <c r="AD29" s="2257" t="str">
        <f>IF(TITLE_NAME_OR_PR_CHANGE="",IF(TITLE_NAME_OR_PR="","",TITLE_NAME_OR_PR),TITLE_NAME_OR_PR_CHANGE)</f>
        <v>Государственный комитет по ценовой политике Республики Саха (Якутия)</v>
      </c>
      <c r="AE29" s="2257"/>
      <c r="AF29" s="2257"/>
      <c r="AG29" s="2257"/>
      <c r="AH29" s="2257"/>
      <c r="AI29" s="2257"/>
      <c r="AJ29" s="2257"/>
      <c r="AK29" s="332"/>
      <c r="AL29" s="332"/>
      <c r="AM29" s="286"/>
      <c r="AN29" s="374"/>
      <c r="AO29" s="374"/>
      <c r="AP29" s="374"/>
      <c r="AQ29" s="374"/>
      <c r="AR29" s="374"/>
      <c r="AS29" s="424">
        <v>0</v>
      </c>
    </row>
    <row s="1859" customFormat="1" customHeight="1" ht="18.75">
      <c r="A30" s="1374"/>
      <c r="B30" s="1374"/>
      <c r="C30" s="1374"/>
      <c r="D30" s="1374"/>
      <c r="E30" s="1374"/>
      <c r="F30" s="1374"/>
      <c r="G30" s="1374"/>
      <c r="H30" s="1374"/>
      <c r="I30" s="1374"/>
      <c r="J30" s="1374"/>
      <c r="K30" s="1374"/>
      <c r="L30" s="1375"/>
      <c r="M30" s="1374"/>
      <c r="N30" s="1374"/>
      <c r="O30" s="1374"/>
      <c r="S30" s="2256" t="s">
        <v>437</v>
      </c>
      <c r="T30" s="2256"/>
      <c r="U30" s="1378"/>
      <c r="V30" s="2270" t="str">
        <f>IF(TITLE_DATE_PR_CHANGE="",IF(TITLE_DATE_PR="","",TITLE_DATE_PR),TITLE_DATE_PR_CHANGE)</f>
        <v>46003.502546296295</v>
      </c>
      <c r="W30" s="2270"/>
      <c r="X30" s="2270"/>
      <c r="Y30" s="2270"/>
      <c r="Z30" s="2270"/>
      <c r="AA30" s="2270"/>
      <c r="AB30" s="2270"/>
      <c r="AC30" s="332"/>
      <c r="AD30" s="2270" t="str">
        <f>IF(TITLE_DATE_PR_CHANGE="",IF(TITLE_DATE_PR="","",TITLE_DATE_PR),TITLE_DATE_PR_CHANGE)</f>
        <v>46003.502546296295</v>
      </c>
      <c r="AE30" s="2270"/>
      <c r="AF30" s="2270"/>
      <c r="AG30" s="2270"/>
      <c r="AH30" s="2270"/>
      <c r="AI30" s="2270"/>
      <c r="AJ30" s="2270"/>
      <c r="AK30" s="332"/>
      <c r="AL30" s="332"/>
      <c r="AM30" s="286"/>
      <c r="AN30" s="374"/>
      <c r="AO30" s="374"/>
      <c r="AP30" s="374"/>
      <c r="AQ30" s="374"/>
      <c r="AR30" s="374"/>
      <c r="AS30" s="424">
        <v>0</v>
      </c>
    </row>
    <row s="1859" customFormat="1" customHeight="1" ht="18.75">
      <c r="A31" s="1374"/>
      <c r="B31" s="1374"/>
      <c r="C31" s="1374"/>
      <c r="D31" s="1374"/>
      <c r="E31" s="1374"/>
      <c r="F31" s="1374"/>
      <c r="G31" s="1374"/>
      <c r="H31" s="1374"/>
      <c r="I31" s="1374"/>
      <c r="J31" s="1374"/>
      <c r="K31" s="1374"/>
      <c r="L31" s="1375"/>
      <c r="M31" s="1374"/>
      <c r="N31" s="1374"/>
      <c r="O31" s="1374"/>
      <c r="S31" s="2256" t="s">
        <v>438</v>
      </c>
      <c r="T31" s="2256"/>
      <c r="U31" s="1378"/>
      <c r="V31" s="2257" t="str">
        <f>IF(TITLE_NUMBER_PR_CHANGE="",IF(TITLE_NUMBER_PR="","",TITLE_NUMBER_PR),TITLE_NUMBER_PR_CHANGE)</f>
        <v>№ 222</v>
      </c>
      <c r="W31" s="2257"/>
      <c r="X31" s="2257"/>
      <c r="Y31" s="2257"/>
      <c r="Z31" s="2257"/>
      <c r="AA31" s="2257"/>
      <c r="AB31" s="2257"/>
      <c r="AC31" s="332"/>
      <c r="AD31" s="2257" t="str">
        <f>IF(TITLE_NUMBER_PR_CHANGE="",IF(TITLE_NUMBER_PR="","",TITLE_NUMBER_PR),TITLE_NUMBER_PR_CHANGE)</f>
        <v>№ 222</v>
      </c>
      <c r="AE31" s="2257"/>
      <c r="AF31" s="2257"/>
      <c r="AG31" s="2257"/>
      <c r="AH31" s="2257"/>
      <c r="AI31" s="2257"/>
      <c r="AJ31" s="2257"/>
      <c r="AK31" s="332"/>
      <c r="AL31" s="332"/>
      <c r="AM31" s="286"/>
      <c r="AN31" s="374"/>
      <c r="AO31" s="374"/>
      <c r="AP31" s="374"/>
      <c r="AQ31" s="374"/>
      <c r="AR31" s="374"/>
      <c r="AS31" s="424">
        <v>0</v>
      </c>
    </row>
    <row s="1859" customFormat="1" customHeight="1" ht="18.75">
      <c r="A32" s="1374"/>
      <c r="B32" s="1374"/>
      <c r="C32" s="1374"/>
      <c r="D32" s="1374"/>
      <c r="E32" s="1374"/>
      <c r="F32" s="1374"/>
      <c r="G32" s="1374"/>
      <c r="H32" s="1374"/>
      <c r="I32" s="1374"/>
      <c r="J32" s="1374"/>
      <c r="K32" s="1374"/>
      <c r="L32" s="1375"/>
      <c r="M32" s="1374"/>
      <c r="N32" s="1374"/>
      <c r="O32" s="1374"/>
      <c r="S32" s="2256" t="s">
        <v>44</v>
      </c>
      <c r="T32" s="2256"/>
      <c r="U32" s="1378"/>
      <c r="V32" s="2257" t="str">
        <f>IF(TITLE_IST_PUB_CHANGE="",IF(TITLE_IST_PUB="","",TITLE_IST_PUB),TITLE_IST_PUB_CHANGE)</f>
        <v>Официальный интернет-портал правовой информации http://pravo.gov.ru/ </v>
      </c>
      <c r="W32" s="2257"/>
      <c r="X32" s="2257"/>
      <c r="Y32" s="2257"/>
      <c r="Z32" s="2257"/>
      <c r="AA32" s="2257"/>
      <c r="AB32" s="2257"/>
      <c r="AC32" s="332"/>
      <c r="AD32" s="2257" t="str">
        <f>IF(TITLE_IST_PUB_CHANGE="",IF(TITLE_IST_PUB="","",TITLE_IST_PUB),TITLE_IST_PUB_CHANGE)</f>
        <v>Официальный интернет-портал правовой информации http://pravo.gov.ru/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439</v>
      </c>
      <c r="T34" s="2256"/>
      <c r="U34" s="1378"/>
      <c r="V34" s="2270" t="str">
        <f>IF(TITLE_DATE_PR_CHANGE="",IF(TITLE_DATE_PR="","",TITLE_DATE_PR),TITLE_DATE_PR_CHANGE)</f>
        <v>46003.502546296295</v>
      </c>
      <c r="W34" s="2270"/>
      <c r="X34" s="2270"/>
      <c r="Y34" s="2270"/>
      <c r="Z34" s="2270"/>
      <c r="AA34" s="2270"/>
      <c r="AB34" s="2270"/>
      <c r="AC34" s="332"/>
      <c r="AD34" s="2270" t="str">
        <f>IF(TITLE_DATE_PR_CHANGE="",IF(TITLE_DATE_PR="","",TITLE_DATE_PR),TITLE_DATE_PR_CHANGE)</f>
        <v>46003.502546296295</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440</v>
      </c>
      <c r="T35" s="2256"/>
      <c r="U35" s="1378"/>
      <c r="V35" s="2257" t="str">
        <f>IF(TITLE_NUMBER_PR_CHANGE="",IF(TITLE_NUMBER_PR="","",TITLE_NUMBER_PR),TITLE_NUMBER_PR_CHANGE)</f>
        <v>№ 222</v>
      </c>
      <c r="W35" s="2257"/>
      <c r="X35" s="2257"/>
      <c r="Y35" s="2257"/>
      <c r="Z35" s="2257"/>
      <c r="AA35" s="2257"/>
      <c r="AB35" s="2257"/>
      <c r="AC35" s="332"/>
      <c r="AD35" s="2257" t="str">
        <f>IF(TITLE_NUMBER_PR_CHANGE="",IF(TITLE_NUMBER_PR="","",TITLE_NUMBER_PR),TITLE_NUMBER_PR_CHANGE)</f>
        <v>№ 222</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441</v>
      </c>
      <c r="AD36" s="332"/>
      <c r="AE36" s="332"/>
      <c r="AF36" s="332"/>
      <c r="AG36" s="332"/>
      <c r="AH36" s="332"/>
      <c r="AI36" s="332"/>
      <c r="AJ36" s="332"/>
      <c r="AK36" s="284" t="s">
        <v>441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316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317</v>
      </c>
      <c r="AS38" s="1161">
        <v>14</v>
      </c>
    </row>
    <row customHeight="1" ht="14.699999999999998">
      <c r="Q39" s="382"/>
      <c r="R39" s="382"/>
      <c r="S39" s="2279" t="s">
        <v>89</v>
      </c>
      <c r="T39" s="2215" t="s">
        <v>442</v>
      </c>
      <c r="U39" s="307"/>
      <c r="V39" s="2280" t="s">
        <v>443</v>
      </c>
      <c r="W39" s="2281"/>
      <c r="X39" s="2281"/>
      <c r="Y39" s="2281"/>
      <c r="Z39" s="2281"/>
      <c r="AA39" s="2281"/>
      <c r="AB39" s="2282"/>
      <c r="AC39" s="2283" t="s">
        <v>444</v>
      </c>
      <c r="AD39" s="2280" t="s">
        <v>443</v>
      </c>
      <c r="AE39" s="2281"/>
      <c r="AF39" s="2281"/>
      <c r="AG39" s="2281"/>
      <c r="AH39" s="2281"/>
      <c r="AI39" s="2281"/>
      <c r="AJ39" s="2282"/>
      <c r="AK39" s="2283" t="s">
        <v>445</v>
      </c>
      <c r="AL39" s="2286" t="s">
        <v>446</v>
      </c>
      <c r="AM39" s="2133"/>
      <c r="AS39" s="1161">
        <v>14</v>
      </c>
    </row>
    <row customHeight="1" ht="35.699999999999996">
      <c r="Q40" s="382"/>
      <c r="R40" s="382"/>
      <c r="S40" s="2279"/>
      <c r="T40" s="2215"/>
      <c r="U40" s="1037"/>
      <c r="V40" s="2266" t="s">
        <v>447</v>
      </c>
      <c r="W40" s="2289"/>
      <c r="X40" s="2268" t="s">
        <v>449</v>
      </c>
      <c r="Y40" s="2269"/>
      <c r="Z40" s="2268" t="s">
        <v>450</v>
      </c>
      <c r="AA40" s="2275"/>
      <c r="AB40" s="2269"/>
      <c r="AC40" s="2284"/>
      <c r="AD40" s="2266" t="s">
        <v>463</v>
      </c>
      <c r="AE40" s="2289"/>
      <c r="AF40" s="2268" t="s">
        <v>449</v>
      </c>
      <c r="AG40" s="2269"/>
      <c r="AH40" s="2268" t="s">
        <v>450</v>
      </c>
      <c r="AI40" s="2275"/>
      <c r="AJ40" s="2269"/>
      <c r="AK40" s="2284"/>
      <c r="AL40" s="2287"/>
      <c r="AM40" s="2133"/>
      <c r="AS40" s="1161">
        <v>34</v>
      </c>
    </row>
    <row customHeight="1" ht="35.699999999999996">
      <c r="A41" s="1376"/>
      <c r="B41" s="1376" t="s">
        <v>137</v>
      </c>
      <c r="C41" s="1376" t="s">
        <v>138</v>
      </c>
      <c r="D41" s="1376" t="s">
        <v>139</v>
      </c>
      <c r="E41" s="1370" t="s">
        <v>451</v>
      </c>
      <c r="F41" s="1370" t="s">
        <v>452</v>
      </c>
      <c r="G41" s="1370" t="s">
        <v>453</v>
      </c>
      <c r="H41" s="1370" t="s">
        <v>454</v>
      </c>
      <c r="I41" s="1370" t="s">
        <v>455</v>
      </c>
      <c r="J41" s="1370" t="s">
        <v>456</v>
      </c>
      <c r="K41" s="1370" t="s">
        <v>457</v>
      </c>
      <c r="L41" s="1370" t="s">
        <v>432</v>
      </c>
      <c r="Q41" s="382"/>
      <c r="R41" s="382"/>
      <c r="S41" s="2279"/>
      <c r="T41" s="2215"/>
      <c r="U41" s="308"/>
      <c r="V41" s="2267"/>
      <c r="W41" s="2290"/>
      <c r="X41" s="1228" t="s">
        <v>458</v>
      </c>
      <c r="Y41" s="1228" t="s">
        <v>459</v>
      </c>
      <c r="Z41" s="1344" t="s">
        <v>460</v>
      </c>
      <c r="AA41" s="2276" t="s">
        <v>461</v>
      </c>
      <c r="AB41" s="2277"/>
      <c r="AC41" s="2285"/>
      <c r="AD41" s="2267"/>
      <c r="AE41" s="2290"/>
      <c r="AF41" s="1228" t="s">
        <v>458</v>
      </c>
      <c r="AG41" s="1228" t="s">
        <v>459</v>
      </c>
      <c r="AH41" s="1344" t="s">
        <v>460</v>
      </c>
      <c r="AI41" s="2276" t="s">
        <v>461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111</v>
      </c>
      <c r="T42" s="1261" t="s">
        <v>112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182</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125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c r="AS43" s="1161">
        <v>21</v>
      </c>
    </row>
    <row customHeight="1" ht="22.049999999999997">
      <c r="A44" s="1369" t="s">
        <v>182</v>
      </c>
      <c r="B44" s="1369" t="s">
        <v>183</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413</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414</v>
      </c>
      <c r="AO44" s="506"/>
      <c r="AP44" s="506" t="str">
        <f>IF(T44="","",T44)</f>
        <v>Территория действия тарифа</v>
      </c>
      <c r="AQ44" s="506"/>
      <c r="AR44" s="506"/>
      <c r="AS44" s="1161">
        <v>21</v>
      </c>
    </row>
    <row customHeight="1" ht="24">
      <c r="A45" s="1369" t="s">
        <v>182</v>
      </c>
      <c r="B45" s="1369" t="s">
        <v>183</v>
      </c>
      <c r="C45" s="1369" t="s">
        <v>184</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415</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416</v>
      </c>
      <c r="AO45" s="506"/>
      <c r="AP45" s="506" t="str">
        <f>IF(T45="","",T45)</f>
        <v>Наименование системы теплоснабжения </v>
      </c>
      <c r="AQ45" s="506"/>
      <c r="AR45" s="506"/>
      <c r="AS45" s="1161">
        <v>23</v>
      </c>
    </row>
    <row customHeight="1" ht="22.049999999999997">
      <c r="A46" s="1369" t="s">
        <v>182</v>
      </c>
      <c r="B46" s="1369" t="s">
        <v>183</v>
      </c>
      <c r="C46" s="1369" t="s">
        <v>184</v>
      </c>
      <c r="D46" s="1369" t="s">
        <v>185</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417</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418</v>
      </c>
      <c r="AO46" s="506"/>
      <c r="AP46" s="506" t="str">
        <f>IF(T46="","",T46)</f>
        <v>Источник тепловой энергии  </v>
      </c>
      <c r="AQ46" s="506"/>
      <c r="AR46" s="506"/>
      <c r="AS46" s="1161">
        <v>21</v>
      </c>
    </row>
    <row s="1648" customFormat="1" customHeight="1" ht="0">
      <c r="A47" s="1349" t="s">
        <v>182</v>
      </c>
      <c r="B47" s="1349" t="s">
        <v>183</v>
      </c>
      <c r="C47" s="1349" t="s">
        <v>184</v>
      </c>
      <c r="D47" s="1349" t="s">
        <v>185</v>
      </c>
      <c r="E47" s="2265"/>
      <c r="F47" s="2265"/>
      <c r="G47" s="2265"/>
      <c r="H47" s="2265"/>
      <c r="I47" s="2262" t="str">
        <f>S46&amp;".1"</f>
        <v>....1</v>
      </c>
      <c r="J47" s="1349"/>
      <c r="K47" s="1349"/>
      <c r="L47" s="1352" t="s">
        <v>419</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182</v>
      </c>
      <c r="B48" s="1369" t="s">
        <v>183</v>
      </c>
      <c r="C48" s="1369" t="s">
        <v>184</v>
      </c>
      <c r="D48" s="1369" t="s">
        <v>185</v>
      </c>
      <c r="E48" s="2265"/>
      <c r="F48" s="2265"/>
      <c r="G48" s="2265"/>
      <c r="H48" s="2265"/>
      <c r="I48" s="2292"/>
      <c r="J48" s="2262" t="str">
        <f>S46&amp;".1"</f>
        <v>....1</v>
      </c>
      <c r="K48" s="1369"/>
      <c r="L48" s="1370" t="s">
        <v>422</v>
      </c>
      <c r="P48" s="2263"/>
      <c r="Q48" s="2263">
        <v>1</v>
      </c>
      <c r="R48" s="363"/>
      <c r="S48" s="1342" t="str">
        <f>$J48</f>
        <v>....1</v>
      </c>
      <c r="T48" s="292" t="s">
        <v>423</v>
      </c>
      <c r="U48" s="306"/>
      <c r="V48" s="2251"/>
      <c r="W48" s="2252"/>
      <c r="X48" s="2252"/>
      <c r="Y48" s="2252"/>
      <c r="Z48" s="2252"/>
      <c r="AA48" s="2252"/>
      <c r="AB48" s="2252"/>
      <c r="AC48" s="2253"/>
      <c r="AD48" s="2251"/>
      <c r="AE48" s="2252"/>
      <c r="AF48" s="2252"/>
      <c r="AG48" s="2252"/>
      <c r="AH48" s="2252"/>
      <c r="AI48" s="2252"/>
      <c r="AJ48" s="2252"/>
      <c r="AK48" s="2252"/>
      <c r="AL48" s="2253"/>
      <c r="AM48" s="1264" t="s">
        <v>424</v>
      </c>
      <c r="AO48" s="506"/>
      <c r="AP48" s="506" t="str">
        <f>IF(T48="","",T48)</f>
        <v>Группа потребителей</v>
      </c>
      <c r="AQ48" s="506"/>
      <c r="AR48" s="506"/>
      <c r="AS48" s="1161">
        <v>21</v>
      </c>
    </row>
    <row customHeight="1" ht="22.049999999999997">
      <c r="A49" s="1369" t="s">
        <v>182</v>
      </c>
      <c r="B49" s="1369" t="s">
        <v>183</v>
      </c>
      <c r="C49" s="1369" t="s">
        <v>184</v>
      </c>
      <c r="D49" s="1369" t="s">
        <v>185</v>
      </c>
      <c r="E49" s="2265"/>
      <c r="F49" s="2265"/>
      <c r="G49" s="2265"/>
      <c r="H49" s="2265"/>
      <c r="I49" s="2292"/>
      <c r="J49" s="2292"/>
      <c r="K49" s="2262" t="str">
        <f>J48&amp;".1"</f>
        <v>....1.1</v>
      </c>
      <c r="L49" s="1370" t="s">
        <v>425</v>
      </c>
      <c r="P49" s="2263"/>
      <c r="Q49" s="2263"/>
      <c r="R49" s="363">
        <v>1</v>
      </c>
      <c r="S49" s="1342" t="str">
        <f>$K49</f>
        <v>....1.1</v>
      </c>
      <c r="T49" s="1353"/>
      <c r="U49" s="306"/>
      <c r="V49" s="757"/>
      <c r="W49" s="331"/>
      <c r="X49" s="757"/>
      <c r="Y49" s="1263"/>
      <c r="Z49" s="2271"/>
      <c r="AA49" s="2113" t="s">
        <v>62</v>
      </c>
      <c r="AB49" s="2271"/>
      <c r="AC49" s="2113" t="s">
        <v>62</v>
      </c>
      <c r="AD49" s="757"/>
      <c r="AE49" s="331"/>
      <c r="AF49" s="757"/>
      <c r="AG49" s="1263"/>
      <c r="AH49" s="2271"/>
      <c r="AI49" s="2113" t="s">
        <v>62</v>
      </c>
      <c r="AJ49" s="2293"/>
      <c r="AK49" s="2113" t="s">
        <v>62</v>
      </c>
      <c r="AL49" s="1354"/>
      <c r="AM49" s="2259" t="s">
        <v>464</v>
      </c>
      <c r="AN49" s="517">
        <f>STRCHECKDATE(V50:AL50)</f>
      </c>
      <c r="AO49" s="506"/>
      <c r="AP49" s="506" t="str">
        <f>IF(T49="","",T49)</f>
        <v/>
      </c>
      <c r="AQ49" s="506"/>
      <c r="AR49" s="506"/>
      <c r="AS49" s="1161">
        <v>21</v>
      </c>
    </row>
    <row customHeight="1" ht="1.05">
      <c r="A50" s="1369" t="s">
        <v>182</v>
      </c>
      <c r="B50" s="1369" t="s">
        <v>183</v>
      </c>
      <c r="C50" s="1369" t="s">
        <v>184</v>
      </c>
      <c r="D50" s="1369" t="s">
        <v>185</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182</v>
      </c>
      <c r="B51" s="1369" t="s">
        <v>183</v>
      </c>
      <c r="C51" s="1369" t="s">
        <v>184</v>
      </c>
      <c r="D51" s="1369" t="s">
        <v>185</v>
      </c>
      <c r="E51" s="2265"/>
      <c r="F51" s="2265"/>
      <c r="G51" s="2265"/>
      <c r="H51" s="2265"/>
      <c r="I51" s="2292"/>
      <c r="J51" s="2262"/>
      <c r="K51" s="1369"/>
      <c r="L51" s="1370"/>
      <c r="P51" s="2263"/>
      <c r="Q51" s="2263"/>
      <c r="R51" s="362"/>
      <c r="S51" s="1284"/>
      <c r="T51" s="293" t="s">
        <v>427</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182</v>
      </c>
      <c r="B52" s="1369" t="s">
        <v>183</v>
      </c>
      <c r="C52" s="1369" t="s">
        <v>184</v>
      </c>
      <c r="D52" s="1369" t="s">
        <v>185</v>
      </c>
      <c r="E52" s="2265"/>
      <c r="F52" s="2265"/>
      <c r="G52" s="2265"/>
      <c r="H52" s="2265"/>
      <c r="I52" s="2262"/>
      <c r="J52" s="1369"/>
      <c r="K52" s="1369"/>
      <c r="L52" s="1370"/>
      <c r="P52" s="2263"/>
      <c r="Q52" s="1337"/>
      <c r="R52" s="362"/>
      <c r="S52" s="1284"/>
      <c r="T52" s="371" t="s">
        <v>428</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182</v>
      </c>
      <c r="B53" s="1369" t="s">
        <v>183</v>
      </c>
      <c r="C53" s="1369" t="s">
        <v>184</v>
      </c>
      <c r="D53" s="1369" t="s">
        <v>185</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182</v>
      </c>
      <c r="B54" s="1349" t="s">
        <v>183</v>
      </c>
      <c r="C54" s="1349" t="s">
        <v>184</v>
      </c>
      <c r="D54" s="1320"/>
      <c r="E54" s="2265"/>
      <c r="F54" s="2265"/>
      <c r="G54" s="2264"/>
      <c r="H54" s="1320"/>
      <c r="I54" s="1320"/>
      <c r="J54" s="1320"/>
      <c r="K54" s="1320"/>
      <c r="L54" s="1345"/>
      <c r="M54" s="1321"/>
      <c r="N54" s="1321"/>
      <c r="P54" s="1322"/>
      <c r="Q54" s="1323"/>
      <c r="R54" s="1322"/>
      <c r="S54" s="1328"/>
      <c r="T54" s="1331" t="s">
        <v>430</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182</v>
      </c>
      <c r="B55" s="1349" t="s">
        <v>183</v>
      </c>
      <c r="C55" s="1320"/>
      <c r="D55" s="1320"/>
      <c r="E55" s="2265"/>
      <c r="F55" s="2264"/>
      <c r="G55" s="1320"/>
      <c r="H55" s="1320"/>
      <c r="I55" s="1320"/>
      <c r="J55" s="1320"/>
      <c r="K55" s="1320"/>
      <c r="L55" s="1345"/>
      <c r="M55" s="1327"/>
      <c r="N55" s="1327"/>
      <c r="P55" s="1322"/>
      <c r="Q55" s="1323"/>
      <c r="R55" s="1322"/>
      <c r="S55" s="1328"/>
      <c r="T55" s="1331" t="s">
        <v>251</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182</v>
      </c>
      <c r="B56" s="1349"/>
      <c r="C56" s="1349"/>
      <c r="D56" s="1349"/>
      <c r="E56" s="2264"/>
      <c r="F56" s="1349"/>
      <c r="G56" s="1349"/>
      <c r="H56" s="1349"/>
      <c r="I56" s="1349"/>
      <c r="J56" s="1349"/>
      <c r="K56" s="1349"/>
      <c r="L56" s="1352"/>
      <c r="M56" s="1327"/>
      <c r="N56" s="1327"/>
      <c r="O56" s="524"/>
      <c r="P56" s="386"/>
      <c r="Q56" s="1350"/>
      <c r="R56" s="386"/>
      <c r="S56" s="1328"/>
      <c r="T56" s="1331" t="s">
        <v>252</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264</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3.2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22</v>
      </c>
    </row>
    <row customHeight="1" ht="30.4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29</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83</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2BDCB4-8839-5813-A92E-0B323044B39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125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412</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413</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414</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415</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416</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417</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418</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419</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422</v>
      </c>
      <c r="M7" s="543"/>
      <c r="N7" s="1372"/>
      <c r="P7" s="2263"/>
      <c r="Q7" s="2263">
        <v>1</v>
      </c>
      <c r="R7" s="363"/>
      <c r="S7" s="1342">
        <f>$J7</f>
      </c>
      <c r="T7" s="292" t="s">
        <v>423</v>
      </c>
      <c r="U7" s="306"/>
      <c r="V7" s="2251"/>
      <c r="W7" s="2252"/>
      <c r="X7" s="2252"/>
      <c r="Y7" s="2252"/>
      <c r="Z7" s="2252"/>
      <c r="AA7" s="2252"/>
      <c r="AB7" s="2252"/>
      <c r="AC7" s="2253"/>
      <c r="AD7" s="2251"/>
      <c r="AE7" s="2252"/>
      <c r="AF7" s="2252"/>
      <c r="AG7" s="2252"/>
      <c r="AH7" s="2252"/>
      <c r="AI7" s="2252"/>
      <c r="AJ7" s="2252"/>
      <c r="AK7" s="2252"/>
      <c r="AL7" s="2253"/>
      <c r="AM7" s="1264" t="s">
        <v>424</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425</v>
      </c>
      <c r="M8" s="543"/>
      <c r="N8" s="1372"/>
      <c r="O8" s="1372"/>
      <c r="P8" s="2263"/>
      <c r="Q8" s="2263"/>
      <c r="R8" s="363">
        <v>1</v>
      </c>
      <c r="S8" s="1342">
        <f>$K8</f>
      </c>
      <c r="T8" s="1353"/>
      <c r="U8" s="306"/>
      <c r="V8" s="757"/>
      <c r="W8" s="331"/>
      <c r="X8" s="757"/>
      <c r="Y8" s="1263"/>
      <c r="Z8" s="2271"/>
      <c r="AA8" s="2113" t="s">
        <v>62</v>
      </c>
      <c r="AB8" s="2271"/>
      <c r="AC8" s="2113" t="s">
        <v>62</v>
      </c>
      <c r="AD8" s="757"/>
      <c r="AE8" s="331"/>
      <c r="AF8" s="757"/>
      <c r="AG8" s="1263"/>
      <c r="AH8" s="2271"/>
      <c r="AI8" s="2113" t="s">
        <v>62</v>
      </c>
      <c r="AJ8" s="2271"/>
      <c r="AK8" s="2113" t="s">
        <v>62</v>
      </c>
      <c r="AL8" s="331"/>
      <c r="AM8" s="2259" t="s">
        <v>426</v>
      </c>
      <c r="AN8" s="517">
        <f>STRCHECKDATE(V9:AL9)</f>
      </c>
      <c r="AO8" s="506"/>
      <c r="AP8" s="506" t="str">
        <f>IF(T8="","",T8)</f>
        <v/>
      </c>
      <c r="AQ8" s="506"/>
      <c r="AR8" s="506"/>
      <c r="AS8" s="1161">
        <v>0</v>
      </c>
    </row>
    <row customHeight="1" ht="14.2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427</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428</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14.25" hidden="1">
      <c r="A13" s="1320"/>
      <c r="B13" s="1320"/>
      <c r="C13" s="1320"/>
      <c r="D13" s="1320"/>
      <c r="E13" s="2265"/>
      <c r="F13" s="2265"/>
      <c r="G13" s="2264"/>
      <c r="H13" s="1320"/>
      <c r="I13" s="1320"/>
      <c r="J13" s="1320"/>
      <c r="K13" s="1320"/>
      <c r="L13" s="1345"/>
      <c r="M13" s="1321"/>
      <c r="N13" s="1321"/>
      <c r="P13" s="1322"/>
      <c r="Q13" s="1323"/>
      <c r="R13" s="1322"/>
      <c r="S13" s="1324"/>
      <c r="T13" s="1325" t="s">
        <v>430</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14.25" hidden="1">
      <c r="A14" s="1320"/>
      <c r="B14" s="1320"/>
      <c r="C14" s="1320"/>
      <c r="D14" s="1320"/>
      <c r="E14" s="2265"/>
      <c r="F14" s="2264"/>
      <c r="G14" s="1320"/>
      <c r="H14" s="1320"/>
      <c r="I14" s="1320"/>
      <c r="J14" s="1320"/>
      <c r="K14" s="1320"/>
      <c r="L14" s="1345"/>
      <c r="M14" s="1327"/>
      <c r="N14" s="1327"/>
      <c r="P14" s="1322"/>
      <c r="Q14" s="1323"/>
      <c r="R14" s="1322"/>
      <c r="S14" s="1328"/>
      <c r="T14" s="1329" t="s">
        <v>251</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14.25" hidden="1">
      <c r="A15" s="1320"/>
      <c r="B15" s="1320"/>
      <c r="C15" s="1320"/>
      <c r="D15" s="1320"/>
      <c r="E15" s="2264"/>
      <c r="F15" s="1320"/>
      <c r="G15" s="1320"/>
      <c r="H15" s="1320"/>
      <c r="I15" s="1320"/>
      <c r="J15" s="1320"/>
      <c r="K15" s="1320"/>
      <c r="L15" s="1345"/>
      <c r="M15" s="1327"/>
      <c r="N15" s="1327"/>
      <c r="P15" s="1322"/>
      <c r="Q15" s="1323"/>
      <c r="R15" s="1322"/>
      <c r="S15" s="1328"/>
      <c r="T15" s="1331" t="s">
        <v>252</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62</v>
      </c>
      <c r="AJ17" s="2273"/>
      <c r="AK17" s="2274" t="s">
        <v>62</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431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432</v>
      </c>
      <c r="P22" s="1368"/>
      <c r="Q22" s="1377"/>
      <c r="R22" s="1377"/>
      <c r="S22" s="735"/>
      <c r="T22" s="1166" t="s">
        <v>433</v>
      </c>
      <c r="AA22" s="192" t="s">
        <v>434</v>
      </c>
      <c r="AC22" s="192" t="s">
        <v>435</v>
      </c>
      <c r="AD22" s="1166" t="s">
        <v>433</v>
      </c>
      <c r="AI22" s="192" t="s">
        <v>436</v>
      </c>
      <c r="AK22" s="192" t="s">
        <v>435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3.54999999999999">
      <c r="Q26" s="382"/>
      <c r="R26" s="382"/>
      <c r="S26" s="225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51</v>
      </c>
    </row>
    <row customHeight="1" ht="14.699999999999998">
      <c r="Q27" s="382"/>
      <c r="R27" s="382"/>
      <c r="S27" s="2255" t="str">
        <f>IF(org=0,"Не определено",org)</f>
        <v>АО «ДГК» СП «Нерюнгринская ГРЭС»</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Государственный комитет по ценовой политике Республики Саха (Якутия)</v>
      </c>
      <c r="W29" s="2257"/>
      <c r="X29" s="2257"/>
      <c r="Y29" s="2257"/>
      <c r="Z29" s="2257"/>
      <c r="AA29" s="2257"/>
      <c r="AB29" s="2257"/>
      <c r="AC29" s="332"/>
      <c r="AD29" s="2257" t="str">
        <f>IF(TITLE_NAME_OR_PR_CHANGE="",IF(TITLE_NAME_OR_PR="","",TITLE_NAME_OR_PR),TITLE_NAME_OR_PR_CHANGE)</f>
        <v>Государственный комитет по ценовой политике Республики Саха (Якутия)</v>
      </c>
      <c r="AE29" s="2257"/>
      <c r="AF29" s="2257"/>
      <c r="AG29" s="2257"/>
      <c r="AH29" s="2257"/>
      <c r="AI29" s="2257"/>
      <c r="AJ29" s="2257"/>
      <c r="AK29" s="332"/>
      <c r="AL29" s="332"/>
      <c r="AM29" s="286"/>
      <c r="AN29" s="374"/>
      <c r="AO29" s="374"/>
      <c r="AP29" s="374"/>
      <c r="AQ29" s="374"/>
      <c r="AR29" s="374"/>
      <c r="AS29" s="424">
        <v>0</v>
      </c>
    </row>
    <row s="1859" customFormat="1" customHeight="1" ht="18.75">
      <c r="A30" s="1374"/>
      <c r="B30" s="1374"/>
      <c r="C30" s="1374"/>
      <c r="D30" s="1374"/>
      <c r="E30" s="1374"/>
      <c r="F30" s="1374"/>
      <c r="G30" s="1374"/>
      <c r="H30" s="1374"/>
      <c r="I30" s="1374"/>
      <c r="J30" s="1374"/>
      <c r="K30" s="1374"/>
      <c r="L30" s="1375"/>
      <c r="M30" s="1374"/>
      <c r="N30" s="1374"/>
      <c r="O30" s="1374"/>
      <c r="S30" s="2256" t="s">
        <v>437</v>
      </c>
      <c r="T30" s="2256"/>
      <c r="U30" s="1378"/>
      <c r="V30" s="2270" t="str">
        <f>IF(TITLE_DATE_PR_CHANGE="",IF(TITLE_DATE_PR="","",TITLE_DATE_PR),TITLE_DATE_PR_CHANGE)</f>
        <v>46003.502546296295</v>
      </c>
      <c r="W30" s="2270"/>
      <c r="X30" s="2270"/>
      <c r="Y30" s="2270"/>
      <c r="Z30" s="2270"/>
      <c r="AA30" s="2270"/>
      <c r="AB30" s="2270"/>
      <c r="AC30" s="332"/>
      <c r="AD30" s="2270" t="str">
        <f>IF(TITLE_DATE_PR_CHANGE="",IF(TITLE_DATE_PR="","",TITLE_DATE_PR),TITLE_DATE_PR_CHANGE)</f>
        <v>46003.502546296295</v>
      </c>
      <c r="AE30" s="2270"/>
      <c r="AF30" s="2270"/>
      <c r="AG30" s="2270"/>
      <c r="AH30" s="2270"/>
      <c r="AI30" s="2270"/>
      <c r="AJ30" s="2270"/>
      <c r="AK30" s="332"/>
      <c r="AL30" s="332"/>
      <c r="AM30" s="286"/>
      <c r="AN30" s="374"/>
      <c r="AO30" s="374"/>
      <c r="AP30" s="374"/>
      <c r="AQ30" s="374"/>
      <c r="AR30" s="374"/>
      <c r="AS30" s="424">
        <v>0</v>
      </c>
    </row>
    <row s="1859" customFormat="1" customHeight="1" ht="18.75">
      <c r="A31" s="1374"/>
      <c r="B31" s="1374"/>
      <c r="C31" s="1374"/>
      <c r="D31" s="1374"/>
      <c r="E31" s="1374"/>
      <c r="F31" s="1374"/>
      <c r="G31" s="1374"/>
      <c r="H31" s="1374"/>
      <c r="I31" s="1374"/>
      <c r="J31" s="1374"/>
      <c r="K31" s="1374"/>
      <c r="L31" s="1375"/>
      <c r="M31" s="1374"/>
      <c r="N31" s="1374"/>
      <c r="O31" s="1374"/>
      <c r="S31" s="2256" t="s">
        <v>438</v>
      </c>
      <c r="T31" s="2256"/>
      <c r="U31" s="1378"/>
      <c r="V31" s="2257" t="str">
        <f>IF(TITLE_NUMBER_PR_CHANGE="",IF(TITLE_NUMBER_PR="","",TITLE_NUMBER_PR),TITLE_NUMBER_PR_CHANGE)</f>
        <v>№ 222</v>
      </c>
      <c r="W31" s="2257"/>
      <c r="X31" s="2257"/>
      <c r="Y31" s="2257"/>
      <c r="Z31" s="2257"/>
      <c r="AA31" s="2257"/>
      <c r="AB31" s="2257"/>
      <c r="AC31" s="332"/>
      <c r="AD31" s="2257" t="str">
        <f>IF(TITLE_NUMBER_PR_CHANGE="",IF(TITLE_NUMBER_PR="","",TITLE_NUMBER_PR),TITLE_NUMBER_PR_CHANGE)</f>
        <v>№ 222</v>
      </c>
      <c r="AE31" s="2257"/>
      <c r="AF31" s="2257"/>
      <c r="AG31" s="2257"/>
      <c r="AH31" s="2257"/>
      <c r="AI31" s="2257"/>
      <c r="AJ31" s="2257"/>
      <c r="AK31" s="332"/>
      <c r="AL31" s="332"/>
      <c r="AM31" s="286"/>
      <c r="AN31" s="374"/>
      <c r="AO31" s="374"/>
      <c r="AP31" s="374"/>
      <c r="AQ31" s="374"/>
      <c r="AR31" s="374"/>
      <c r="AS31" s="424">
        <v>0</v>
      </c>
    </row>
    <row s="1859" customFormat="1" customHeight="1" ht="18.75">
      <c r="A32" s="1374"/>
      <c r="B32" s="1374"/>
      <c r="C32" s="1374"/>
      <c r="D32" s="1374"/>
      <c r="E32" s="1374"/>
      <c r="F32" s="1374"/>
      <c r="G32" s="1374"/>
      <c r="H32" s="1374"/>
      <c r="I32" s="1374"/>
      <c r="J32" s="1374"/>
      <c r="K32" s="1374"/>
      <c r="L32" s="1375"/>
      <c r="M32" s="1374"/>
      <c r="N32" s="1374"/>
      <c r="O32" s="1374"/>
      <c r="S32" s="2256" t="s">
        <v>44</v>
      </c>
      <c r="T32" s="2256"/>
      <c r="U32" s="1378"/>
      <c r="V32" s="2257" t="str">
        <f>IF(TITLE_IST_PUB_CHANGE="",IF(TITLE_IST_PUB="","",TITLE_IST_PUB),TITLE_IST_PUB_CHANGE)</f>
        <v>Официальный интернет-портал правовой информации http://pravo.gov.ru/ </v>
      </c>
      <c r="W32" s="2257"/>
      <c r="X32" s="2257"/>
      <c r="Y32" s="2257"/>
      <c r="Z32" s="2257"/>
      <c r="AA32" s="2257"/>
      <c r="AB32" s="2257"/>
      <c r="AC32" s="332"/>
      <c r="AD32" s="2257" t="str">
        <f>IF(TITLE_IST_PUB_CHANGE="",IF(TITLE_IST_PUB="","",TITLE_IST_PUB),TITLE_IST_PUB_CHANGE)</f>
        <v>Официальный интернет-портал правовой информации http://pravo.gov.ru/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439</v>
      </c>
      <c r="T34" s="2256"/>
      <c r="U34" s="1378"/>
      <c r="V34" s="2270" t="str">
        <f>IF(TITLE_DATE_PR_CHANGE="",IF(TITLE_DATE_PR="","",TITLE_DATE_PR),TITLE_DATE_PR_CHANGE)</f>
        <v>46003.502546296295</v>
      </c>
      <c r="W34" s="2270"/>
      <c r="X34" s="2270"/>
      <c r="Y34" s="2270"/>
      <c r="Z34" s="2270"/>
      <c r="AA34" s="2270"/>
      <c r="AB34" s="2270"/>
      <c r="AC34" s="332"/>
      <c r="AD34" s="2270" t="str">
        <f>IF(TITLE_DATE_PR_CHANGE="",IF(TITLE_DATE_PR="","",TITLE_DATE_PR),TITLE_DATE_PR_CHANGE)</f>
        <v>46003.502546296295</v>
      </c>
      <c r="AE34" s="2270"/>
      <c r="AF34" s="2270"/>
      <c r="AG34" s="2270"/>
      <c r="AH34" s="2270"/>
      <c r="AI34" s="2270"/>
      <c r="AJ34" s="2270"/>
      <c r="AK34" s="332"/>
      <c r="AL34" s="332"/>
      <c r="AM34" s="286"/>
      <c r="AN34" s="374"/>
      <c r="AO34" s="374"/>
      <c r="AP34" s="374"/>
      <c r="AQ34" s="374"/>
      <c r="AR34" s="374"/>
      <c r="AS34" s="424">
        <v>0</v>
      </c>
    </row>
    <row s="1859" customFormat="1" customHeight="1" ht="25.5" hidden="1">
      <c r="A35" s="1374"/>
      <c r="B35" s="1374"/>
      <c r="C35" s="1374"/>
      <c r="D35" s="1374"/>
      <c r="E35" s="1374"/>
      <c r="F35" s="1374"/>
      <c r="G35" s="1374"/>
      <c r="H35" s="1374"/>
      <c r="I35" s="1374"/>
      <c r="J35" s="1374"/>
      <c r="K35" s="1374"/>
      <c r="L35" s="1375"/>
      <c r="M35" s="1374"/>
      <c r="N35" s="1374"/>
      <c r="O35" s="1374"/>
      <c r="S35" s="2256" t="s">
        <v>440</v>
      </c>
      <c r="T35" s="2256"/>
      <c r="U35" s="1378"/>
      <c r="V35" s="2257" t="str">
        <f>IF(TITLE_NUMBER_PR_CHANGE="",IF(TITLE_NUMBER_PR="","",TITLE_NUMBER_PR),TITLE_NUMBER_PR_CHANGE)</f>
        <v>№ 222</v>
      </c>
      <c r="W35" s="2257"/>
      <c r="X35" s="2257"/>
      <c r="Y35" s="2257"/>
      <c r="Z35" s="2257"/>
      <c r="AA35" s="2257"/>
      <c r="AB35" s="2257"/>
      <c r="AC35" s="332"/>
      <c r="AD35" s="2257" t="str">
        <f>IF(TITLE_NUMBER_PR_CHANGE="",IF(TITLE_NUMBER_PR="","",TITLE_NUMBER_PR),TITLE_NUMBER_PR_CHANGE)</f>
        <v>№ 222</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441</v>
      </c>
      <c r="AD36" s="332"/>
      <c r="AE36" s="332"/>
      <c r="AF36" s="332"/>
      <c r="AG36" s="332"/>
      <c r="AH36" s="332"/>
      <c r="AI36" s="332"/>
      <c r="AJ36" s="332"/>
      <c r="AK36" s="284" t="s">
        <v>441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316</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317</v>
      </c>
      <c r="AS38" s="1161">
        <v>14</v>
      </c>
    </row>
    <row customHeight="1" ht="14.699999999999998">
      <c r="Q39" s="382"/>
      <c r="R39" s="382"/>
      <c r="S39" s="2279" t="s">
        <v>89</v>
      </c>
      <c r="T39" s="2215" t="s">
        <v>442</v>
      </c>
      <c r="U39" s="307"/>
      <c r="V39" s="2280" t="s">
        <v>443</v>
      </c>
      <c r="W39" s="2281"/>
      <c r="X39" s="2281"/>
      <c r="Y39" s="2281"/>
      <c r="Z39" s="2281"/>
      <c r="AA39" s="2281"/>
      <c r="AB39" s="2282"/>
      <c r="AC39" s="2283" t="s">
        <v>444</v>
      </c>
      <c r="AD39" s="2280" t="s">
        <v>443</v>
      </c>
      <c r="AE39" s="2281"/>
      <c r="AF39" s="2281"/>
      <c r="AG39" s="2281"/>
      <c r="AH39" s="2281"/>
      <c r="AI39" s="2281"/>
      <c r="AJ39" s="2282"/>
      <c r="AK39" s="2283" t="s">
        <v>445</v>
      </c>
      <c r="AL39" s="2286" t="s">
        <v>446</v>
      </c>
      <c r="AM39" s="2133"/>
      <c r="AS39" s="1161">
        <v>14</v>
      </c>
    </row>
    <row customHeight="1" ht="35.699999999999996">
      <c r="Q40" s="382"/>
      <c r="R40" s="382"/>
      <c r="S40" s="2279"/>
      <c r="T40" s="2215"/>
      <c r="U40" s="1037"/>
      <c r="V40" s="2266" t="s">
        <v>447</v>
      </c>
      <c r="W40" s="2289"/>
      <c r="X40" s="2268" t="s">
        <v>449</v>
      </c>
      <c r="Y40" s="2269"/>
      <c r="Z40" s="2268" t="s">
        <v>450</v>
      </c>
      <c r="AA40" s="2275"/>
      <c r="AB40" s="2269"/>
      <c r="AC40" s="2284"/>
      <c r="AD40" s="2266" t="s">
        <v>463</v>
      </c>
      <c r="AE40" s="2289"/>
      <c r="AF40" s="2268" t="s">
        <v>449</v>
      </c>
      <c r="AG40" s="2269"/>
      <c r="AH40" s="2268" t="s">
        <v>450</v>
      </c>
      <c r="AI40" s="2275"/>
      <c r="AJ40" s="2269"/>
      <c r="AK40" s="2284"/>
      <c r="AL40" s="2287"/>
      <c r="AM40" s="2133"/>
      <c r="AS40" s="1161">
        <v>34</v>
      </c>
    </row>
    <row customHeight="1" ht="35.699999999999996">
      <c r="A41" s="1376"/>
      <c r="B41" s="1376" t="s">
        <v>137</v>
      </c>
      <c r="C41" s="1376" t="s">
        <v>138</v>
      </c>
      <c r="D41" s="1376" t="s">
        <v>139</v>
      </c>
      <c r="E41" s="1370" t="s">
        <v>451</v>
      </c>
      <c r="F41" s="1370" t="s">
        <v>452</v>
      </c>
      <c r="G41" s="1370" t="s">
        <v>453</v>
      </c>
      <c r="H41" s="1370" t="s">
        <v>454</v>
      </c>
      <c r="I41" s="1370" t="s">
        <v>455</v>
      </c>
      <c r="J41" s="1370" t="s">
        <v>456</v>
      </c>
      <c r="K41" s="1370" t="s">
        <v>457</v>
      </c>
      <c r="L41" s="1370" t="s">
        <v>432</v>
      </c>
      <c r="Q41" s="382"/>
      <c r="R41" s="382"/>
      <c r="S41" s="2279"/>
      <c r="T41" s="2215"/>
      <c r="U41" s="308"/>
      <c r="V41" s="2267"/>
      <c r="W41" s="2290"/>
      <c r="X41" s="1228" t="s">
        <v>458</v>
      </c>
      <c r="Y41" s="1228" t="s">
        <v>459</v>
      </c>
      <c r="Z41" s="1344" t="s">
        <v>460</v>
      </c>
      <c r="AA41" s="2276" t="s">
        <v>461</v>
      </c>
      <c r="AB41" s="2277"/>
      <c r="AC41" s="2285"/>
      <c r="AD41" s="2267"/>
      <c r="AE41" s="2290"/>
      <c r="AF41" s="1228" t="s">
        <v>458</v>
      </c>
      <c r="AG41" s="1228" t="s">
        <v>459</v>
      </c>
      <c r="AH41" s="1344" t="s">
        <v>460</v>
      </c>
      <c r="AI41" s="2276" t="s">
        <v>461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111</v>
      </c>
      <c r="T42" s="1261" t="s">
        <v>112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188</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125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c r="AS43" s="1161">
        <v>21</v>
      </c>
    </row>
    <row customHeight="1" ht="22.049999999999997">
      <c r="A44" s="1369" t="s">
        <v>188</v>
      </c>
      <c r="B44" s="1369" t="s">
        <v>189</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413</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414</v>
      </c>
      <c r="AO44" s="506"/>
      <c r="AP44" s="506" t="str">
        <f>IF(T44="","",T44)</f>
        <v>Территория действия тарифа</v>
      </c>
      <c r="AQ44" s="506"/>
      <c r="AR44" s="506"/>
      <c r="AS44" s="1161">
        <v>21</v>
      </c>
    </row>
    <row customHeight="1" ht="24">
      <c r="A45" s="1369" t="s">
        <v>188</v>
      </c>
      <c r="B45" s="1369" t="s">
        <v>189</v>
      </c>
      <c r="C45" s="1369" t="s">
        <v>190</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415</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416</v>
      </c>
      <c r="AO45" s="506"/>
      <c r="AP45" s="506" t="str">
        <f>IF(T45="","",T45)</f>
        <v>Наименование системы теплоснабжения </v>
      </c>
      <c r="AQ45" s="506"/>
      <c r="AR45" s="506"/>
      <c r="AS45" s="1161">
        <v>23</v>
      </c>
    </row>
    <row customHeight="1" ht="22.049999999999997">
      <c r="A46" s="1369" t="s">
        <v>188</v>
      </c>
      <c r="B46" s="1369" t="s">
        <v>189</v>
      </c>
      <c r="C46" s="1369" t="s">
        <v>190</v>
      </c>
      <c r="D46" s="1369" t="s">
        <v>191</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417</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418</v>
      </c>
      <c r="AO46" s="506"/>
      <c r="AP46" s="506" t="str">
        <f>IF(T46="","",T46)</f>
        <v>Источник тепловой энергии  </v>
      </c>
      <c r="AQ46" s="506"/>
      <c r="AR46" s="506"/>
      <c r="AS46" s="1161">
        <v>21</v>
      </c>
    </row>
    <row s="1648" customFormat="1" customHeight="1" ht="0">
      <c r="A47" s="1349" t="s">
        <v>188</v>
      </c>
      <c r="B47" s="1349" t="s">
        <v>189</v>
      </c>
      <c r="C47" s="1349" t="s">
        <v>190</v>
      </c>
      <c r="D47" s="1349" t="s">
        <v>191</v>
      </c>
      <c r="E47" s="2265"/>
      <c r="F47" s="2265"/>
      <c r="G47" s="2265"/>
      <c r="H47" s="2265"/>
      <c r="I47" s="2262" t="str">
        <f>S46&amp;".1"</f>
        <v>....1</v>
      </c>
      <c r="J47" s="1349"/>
      <c r="K47" s="1349"/>
      <c r="L47" s="1352" t="s">
        <v>419</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188</v>
      </c>
      <c r="B48" s="1369" t="s">
        <v>189</v>
      </c>
      <c r="C48" s="1369" t="s">
        <v>190</v>
      </c>
      <c r="D48" s="1369" t="s">
        <v>191</v>
      </c>
      <c r="E48" s="2265"/>
      <c r="F48" s="2265"/>
      <c r="G48" s="2265"/>
      <c r="H48" s="2265"/>
      <c r="I48" s="2292"/>
      <c r="J48" s="2262" t="str">
        <f>S46&amp;".1"</f>
        <v>....1</v>
      </c>
      <c r="K48" s="1369"/>
      <c r="L48" s="1370" t="s">
        <v>422</v>
      </c>
      <c r="P48" s="2263"/>
      <c r="Q48" s="2263">
        <v>1</v>
      </c>
      <c r="R48" s="363"/>
      <c r="S48" s="1342" t="str">
        <f>$J48</f>
        <v>....1</v>
      </c>
      <c r="T48" s="292" t="s">
        <v>423</v>
      </c>
      <c r="U48" s="306"/>
      <c r="V48" s="2251"/>
      <c r="W48" s="2252"/>
      <c r="X48" s="2252"/>
      <c r="Y48" s="2252"/>
      <c r="Z48" s="2252"/>
      <c r="AA48" s="2252"/>
      <c r="AB48" s="2252"/>
      <c r="AC48" s="2253"/>
      <c r="AD48" s="2251"/>
      <c r="AE48" s="2252"/>
      <c r="AF48" s="2252"/>
      <c r="AG48" s="2252"/>
      <c r="AH48" s="2252"/>
      <c r="AI48" s="2252"/>
      <c r="AJ48" s="2252"/>
      <c r="AK48" s="2252"/>
      <c r="AL48" s="2253"/>
      <c r="AM48" s="1264" t="s">
        <v>424</v>
      </c>
      <c r="AO48" s="506"/>
      <c r="AP48" s="506" t="str">
        <f>IF(T48="","",T48)</f>
        <v>Группа потребителей</v>
      </c>
      <c r="AQ48" s="506"/>
      <c r="AR48" s="506"/>
      <c r="AS48" s="1161">
        <v>21</v>
      </c>
    </row>
    <row customHeight="1" ht="22.049999999999997">
      <c r="A49" s="1369" t="s">
        <v>188</v>
      </c>
      <c r="B49" s="1369" t="s">
        <v>189</v>
      </c>
      <c r="C49" s="1369" t="s">
        <v>190</v>
      </c>
      <c r="D49" s="1369" t="s">
        <v>191</v>
      </c>
      <c r="E49" s="2265"/>
      <c r="F49" s="2265"/>
      <c r="G49" s="2265"/>
      <c r="H49" s="2265"/>
      <c r="I49" s="2292"/>
      <c r="J49" s="2292"/>
      <c r="K49" s="2262" t="str">
        <f>J48&amp;".1"</f>
        <v>....1.1</v>
      </c>
      <c r="L49" s="1370" t="s">
        <v>425</v>
      </c>
      <c r="P49" s="2263"/>
      <c r="Q49" s="2263"/>
      <c r="R49" s="363">
        <v>1</v>
      </c>
      <c r="S49" s="1342" t="str">
        <f>$K49</f>
        <v>....1.1</v>
      </c>
      <c r="T49" s="1353"/>
      <c r="U49" s="306"/>
      <c r="V49" s="757"/>
      <c r="W49" s="331"/>
      <c r="X49" s="757"/>
      <c r="Y49" s="1263"/>
      <c r="Z49" s="2271"/>
      <c r="AA49" s="2113" t="s">
        <v>62</v>
      </c>
      <c r="AB49" s="2271"/>
      <c r="AC49" s="2113" t="s">
        <v>62</v>
      </c>
      <c r="AD49" s="757"/>
      <c r="AE49" s="331"/>
      <c r="AF49" s="757"/>
      <c r="AG49" s="1263"/>
      <c r="AH49" s="2271"/>
      <c r="AI49" s="2113" t="s">
        <v>62</v>
      </c>
      <c r="AJ49" s="2293"/>
      <c r="AK49" s="2113" t="s">
        <v>62</v>
      </c>
      <c r="AL49" s="1354"/>
      <c r="AM49" s="2259" t="s">
        <v>464</v>
      </c>
      <c r="AN49" s="517">
        <f>STRCHECKDATE(V50:AL50)</f>
      </c>
      <c r="AO49" s="506"/>
      <c r="AP49" s="506" t="str">
        <f>IF(T49="","",T49)</f>
        <v/>
      </c>
      <c r="AQ49" s="506"/>
      <c r="AR49" s="506"/>
      <c r="AS49" s="1161">
        <v>21</v>
      </c>
    </row>
    <row customHeight="1" ht="0">
      <c r="A50" s="1369" t="s">
        <v>188</v>
      </c>
      <c r="B50" s="1369" t="s">
        <v>189</v>
      </c>
      <c r="C50" s="1369" t="s">
        <v>190</v>
      </c>
      <c r="D50" s="1369" t="s">
        <v>191</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0</v>
      </c>
    </row>
    <row customHeight="1" ht="11.549999999999999">
      <c r="A51" s="1369" t="s">
        <v>188</v>
      </c>
      <c r="B51" s="1369" t="s">
        <v>189</v>
      </c>
      <c r="C51" s="1369" t="s">
        <v>190</v>
      </c>
      <c r="D51" s="1369" t="s">
        <v>191</v>
      </c>
      <c r="E51" s="2265"/>
      <c r="F51" s="2265"/>
      <c r="G51" s="2265"/>
      <c r="H51" s="2265"/>
      <c r="I51" s="2292"/>
      <c r="J51" s="2262"/>
      <c r="K51" s="1369"/>
      <c r="L51" s="1370"/>
      <c r="P51" s="2263"/>
      <c r="Q51" s="2263"/>
      <c r="R51" s="362"/>
      <c r="S51" s="1284"/>
      <c r="T51" s="293" t="s">
        <v>427</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188</v>
      </c>
      <c r="B52" s="1369" t="s">
        <v>189</v>
      </c>
      <c r="C52" s="1369" t="s">
        <v>190</v>
      </c>
      <c r="D52" s="1369" t="s">
        <v>191</v>
      </c>
      <c r="E52" s="2265"/>
      <c r="F52" s="2265"/>
      <c r="G52" s="2265"/>
      <c r="H52" s="2265"/>
      <c r="I52" s="2262"/>
      <c r="J52" s="1369"/>
      <c r="K52" s="1369"/>
      <c r="L52" s="1370"/>
      <c r="P52" s="2263"/>
      <c r="Q52" s="1337"/>
      <c r="R52" s="362"/>
      <c r="S52" s="1284"/>
      <c r="T52" s="371" t="s">
        <v>428</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188</v>
      </c>
      <c r="B53" s="1369" t="s">
        <v>189</v>
      </c>
      <c r="C53" s="1369" t="s">
        <v>190</v>
      </c>
      <c r="D53" s="1369" t="s">
        <v>191</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0">
      <c r="A54" s="1349" t="s">
        <v>188</v>
      </c>
      <c r="B54" s="1349" t="s">
        <v>189</v>
      </c>
      <c r="C54" s="1349" t="s">
        <v>190</v>
      </c>
      <c r="D54" s="1320"/>
      <c r="E54" s="2265"/>
      <c r="F54" s="2265"/>
      <c r="G54" s="2264"/>
      <c r="H54" s="1320"/>
      <c r="I54" s="1320"/>
      <c r="J54" s="1320"/>
      <c r="K54" s="1320"/>
      <c r="L54" s="1345"/>
      <c r="M54" s="1321"/>
      <c r="N54" s="1321"/>
      <c r="P54" s="1322"/>
      <c r="Q54" s="1323"/>
      <c r="R54" s="1322"/>
      <c r="S54" s="1328"/>
      <c r="T54" s="1331" t="s">
        <v>430</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0</v>
      </c>
    </row>
    <row s="1648" customFormat="1" customHeight="1" ht="0">
      <c r="A55" s="1349" t="s">
        <v>188</v>
      </c>
      <c r="B55" s="1349" t="s">
        <v>189</v>
      </c>
      <c r="C55" s="1320"/>
      <c r="D55" s="1320"/>
      <c r="E55" s="2265"/>
      <c r="F55" s="2264"/>
      <c r="G55" s="1320"/>
      <c r="H55" s="1320"/>
      <c r="I55" s="1320"/>
      <c r="J55" s="1320"/>
      <c r="K55" s="1320"/>
      <c r="L55" s="1345"/>
      <c r="M55" s="1327"/>
      <c r="N55" s="1327"/>
      <c r="P55" s="1322"/>
      <c r="Q55" s="1323"/>
      <c r="R55" s="1322"/>
      <c r="S55" s="1328"/>
      <c r="T55" s="1331" t="s">
        <v>251</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0</v>
      </c>
    </row>
    <row s="1648" customFormat="1" customHeight="1" ht="0">
      <c r="A56" s="1349" t="s">
        <v>188</v>
      </c>
      <c r="B56" s="1349"/>
      <c r="C56" s="1349"/>
      <c r="D56" s="1349"/>
      <c r="E56" s="2264"/>
      <c r="F56" s="1349"/>
      <c r="G56" s="1349"/>
      <c r="H56" s="1349"/>
      <c r="I56" s="1349"/>
      <c r="J56" s="1349"/>
      <c r="K56" s="1349"/>
      <c r="L56" s="1352"/>
      <c r="M56" s="1327"/>
      <c r="N56" s="1327"/>
      <c r="O56" s="524"/>
      <c r="P56" s="386"/>
      <c r="Q56" s="1350"/>
      <c r="R56" s="386"/>
      <c r="S56" s="1328"/>
      <c r="T56" s="1331" t="s">
        <v>252</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0</v>
      </c>
    </row>
    <row s="1648" customFormat="1" customHeight="1" ht="4.2">
      <c r="A57" s="1320"/>
      <c r="B57" s="1320"/>
      <c r="C57" s="1320"/>
      <c r="D57" s="1320"/>
      <c r="E57" s="1349"/>
      <c r="F57" s="1320"/>
      <c r="G57" s="1320"/>
      <c r="H57" s="1320"/>
      <c r="I57" s="1320"/>
      <c r="J57" s="1320"/>
      <c r="K57" s="1320"/>
      <c r="L57" s="1345"/>
      <c r="M57" s="1327"/>
      <c r="N57" s="1327"/>
      <c r="P57" s="1322"/>
      <c r="Q57" s="1323"/>
      <c r="R57" s="1322"/>
      <c r="S57" s="1328"/>
      <c r="T57" s="1331" t="s">
        <v>264</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4</v>
      </c>
    </row>
    <row customHeight="1" ht="11.549999999999999">
      <c r="M58" s="1166"/>
      <c r="N58" s="1166"/>
      <c r="O58" s="543"/>
      <c r="P58" s="1161"/>
      <c r="Q58" s="1161"/>
      <c r="R58" s="1161"/>
      <c r="S58" s="1161"/>
      <c r="AN58" s="1161"/>
      <c r="AO58" s="1161"/>
      <c r="AP58" s="1161"/>
      <c r="AQ58" s="1161"/>
      <c r="AR58" s="1161"/>
      <c r="AS58" s="1161">
        <v>11</v>
      </c>
    </row>
    <row customHeight="1" ht="14.699999999999998">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14</v>
      </c>
    </row>
    <row customHeight="1" ht="14.699999999999998">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14</v>
      </c>
    </row>
    <row customHeight="1" ht="14.699999999999998">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14</v>
      </c>
    </row>
    <row customHeight="1" ht="14.699999999999998">
      <c r="O62" s="543"/>
      <c r="AS62" s="1161">
        <v>14</v>
      </c>
    </row>
    <row customHeight="1" ht="14.699999999999998">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14</v>
      </c>
    </row>
    <row customHeight="1" ht="14.699999999999998">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14</v>
      </c>
    </row>
    <row customHeight="1" ht="14.699999999999998">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14</v>
      </c>
    </row>
    <row customHeight="1" ht="22.5" hidden="1">
      <c r="A66" s="1166" t="s">
        <v>83</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EAE391-9614-FB3C-6E0D-0AEB5E297782}"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2" style="1641" width="11.421875" hidden="1" customWidth="1"/>
    <col min="13" max="13" style="2131" width="19.140625" hidden="1" customWidth="1"/>
    <col min="14" max="15" style="2403" width="12.28125" hidden="1" customWidth="1"/>
    <col min="16" max="16" style="2403" width="23.421875" hidden="1" customWidth="1"/>
    <col min="17" max="17" style="2403" width="3.7109375" hidden="1" customWidth="1"/>
    <col min="18" max="20" style="350" width="3.00390625" customWidth="1"/>
    <col min="21" max="21" style="2413" width="12.00390625" customWidth="1"/>
    <col min="22" max="22" style="1641" width="31.00390625" customWidth="1"/>
    <col min="23" max="23" style="1641" width="0.140625" customWidth="1"/>
    <col min="24" max="28" style="1641" width="21.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21.7109375" customWidth="1"/>
    <col min="34" max="37" style="1641" width="21.00390625" customWidth="1"/>
    <col min="38" max="38" style="1641" width="11.00390625" customWidth="1"/>
    <col min="39" max="39" style="1641" width="3.7109375" customWidth="1"/>
    <col min="40" max="40" style="1641" width="11.00390625" customWidth="1"/>
    <col min="41" max="41" style="1641" width="8.57421875" hidden="1" customWidth="1"/>
    <col min="42" max="42" style="1641" width="4.00390625" customWidth="1"/>
    <col min="43" max="43" style="1641" width="115.00390625" customWidth="1"/>
    <col min="44" max="48" style="1648" width="10.00390625" customWidth="1"/>
    <col min="49" max="49" style="1641" width="10.57421875" hidden="1"/>
  </cols>
  <sheetData>
    <row customHeight="1" ht="22.5" hidden="1">
      <c r="AB1" s="333"/>
      <c r="AC1" s="333"/>
      <c r="AK1" s="333"/>
      <c r="AL1" s="333"/>
      <c r="AW1" s="1161" t="s">
        <v>14</v>
      </c>
    </row>
    <row customHeight="1" ht="21" hidden="1">
      <c r="A2" s="1273"/>
      <c r="B2" s="1273"/>
      <c r="C2" s="1273"/>
      <c r="D2" s="1273"/>
      <c r="E2" s="2295">
        <v>1</v>
      </c>
      <c r="F2" s="1273"/>
      <c r="G2" s="1273"/>
      <c r="H2" s="1273"/>
      <c r="I2" s="1273"/>
      <c r="J2" s="1273"/>
      <c r="K2" s="1273"/>
      <c r="L2" s="1273"/>
      <c r="M2" s="1316"/>
      <c r="N2" s="694"/>
      <c r="O2" s="694"/>
      <c r="P2" s="694"/>
      <c r="Q2" s="367"/>
      <c r="R2" s="366"/>
      <c r="S2" s="366"/>
      <c r="T2" s="361"/>
      <c r="U2" s="1342">
        <f>INDEX(PT_DIFFERENTIATION_NUM_NTAR,MATCH(A2,PT_DIFFERENTIATION_NTAR_ID,0))</f>
      </c>
      <c r="V2" s="304" t="s">
        <v>125</v>
      </c>
      <c r="W2" s="306"/>
      <c r="X2" s="2248"/>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50"/>
      <c r="AQ2" s="1264" t="s">
        <v>412</v>
      </c>
      <c r="AS2" s="506"/>
      <c r="AT2" s="506" t="str">
        <f>IF(V2="","",V2)</f>
        <v>Наименование тарифа</v>
      </c>
      <c r="AU2" s="506"/>
      <c r="AV2" s="506"/>
      <c r="AW2" s="1161">
        <v>0</v>
      </c>
    </row>
    <row customHeight="1" ht="21" hidden="1">
      <c r="A3" s="1273"/>
      <c r="B3" s="1273"/>
      <c r="C3" s="1273"/>
      <c r="D3" s="1273"/>
      <c r="E3" s="2296"/>
      <c r="F3" s="2295">
        <v>1</v>
      </c>
      <c r="G3" s="1273"/>
      <c r="H3" s="1273"/>
      <c r="I3" s="1273"/>
      <c r="J3" s="1273"/>
      <c r="K3" s="1273"/>
      <c r="L3" s="1273"/>
      <c r="M3" s="1316"/>
      <c r="N3" s="694"/>
      <c r="O3" s="694"/>
      <c r="P3" s="694"/>
      <c r="Q3" s="1338"/>
      <c r="R3" s="358"/>
      <c r="S3" s="515"/>
      <c r="T3" s="359"/>
      <c r="U3" s="1342">
        <f>INDEX(PT_DIFFERENTIATION_NUM_TER,MATCH(B3,PT_DIFFERENTIATION_TER_ID,0))</f>
      </c>
      <c r="V3" s="314" t="s">
        <v>413</v>
      </c>
      <c r="W3" s="306"/>
      <c r="X3" s="2248"/>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50"/>
      <c r="AQ3" s="1264" t="s">
        <v>414</v>
      </c>
      <c r="AS3" s="506"/>
      <c r="AT3" s="506" t="str">
        <f>IF(V3="","",V3)</f>
        <v>Территория действия тарифа</v>
      </c>
      <c r="AU3" s="506"/>
      <c r="AV3" s="506"/>
      <c r="AW3" s="1161">
        <v>0</v>
      </c>
    </row>
    <row customHeight="1" ht="22.5" hidden="1">
      <c r="A4" s="1273"/>
      <c r="B4" s="1273"/>
      <c r="C4" s="1273"/>
      <c r="D4" s="1273"/>
      <c r="E4" s="2296"/>
      <c r="F4" s="2296"/>
      <c r="G4" s="2295">
        <v>1</v>
      </c>
      <c r="H4" s="1273"/>
      <c r="I4" s="1273"/>
      <c r="J4" s="1273"/>
      <c r="K4" s="1273"/>
      <c r="L4" s="1273"/>
      <c r="M4" s="1316"/>
      <c r="N4" s="694"/>
      <c r="O4" s="694"/>
      <c r="P4" s="694"/>
      <c r="Q4" s="360"/>
      <c r="R4" s="358"/>
      <c r="S4" s="515"/>
      <c r="T4" s="359"/>
      <c r="U4" s="1342">
        <f>INDEX(PT_DIFFERENTIATION_NUM_CS,MATCH(C4,PT_DIFFERENTIATION_CS_ID,0))</f>
      </c>
      <c r="V4" s="315" t="s">
        <v>415</v>
      </c>
      <c r="W4" s="306"/>
      <c r="X4" s="2248"/>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50"/>
      <c r="AQ4" s="1264" t="s">
        <v>416</v>
      </c>
      <c r="AS4" s="506"/>
      <c r="AT4" s="506" t="str">
        <f>IF(V4="","",V4)</f>
        <v>Наименование системы теплоснабжения </v>
      </c>
      <c r="AU4" s="506"/>
      <c r="AV4" s="506"/>
      <c r="AW4" s="1161">
        <v>0</v>
      </c>
    </row>
    <row customHeight="1" ht="21" hidden="1">
      <c r="A5" s="1273"/>
      <c r="B5" s="1273"/>
      <c r="C5" s="1273"/>
      <c r="D5" s="1273"/>
      <c r="E5" s="2296"/>
      <c r="F5" s="2296"/>
      <c r="G5" s="2296"/>
      <c r="H5" s="2295">
        <v>1</v>
      </c>
      <c r="I5" s="1273"/>
      <c r="J5" s="1273"/>
      <c r="K5" s="1273"/>
      <c r="L5" s="1273"/>
      <c r="M5" s="1316"/>
      <c r="N5" s="694"/>
      <c r="O5" s="694"/>
      <c r="P5" s="694"/>
      <c r="Q5" s="360"/>
      <c r="R5" s="358"/>
      <c r="S5" s="515"/>
      <c r="T5" s="359"/>
      <c r="U5" s="1342">
        <f>INDEX(PT_DIFFERENTIATION_NUM_IST_TE,MATCH(D5,PT_DIFFERENTIATION_IST_TE_ID,0))</f>
      </c>
      <c r="V5" s="316" t="s">
        <v>417</v>
      </c>
      <c r="W5" s="306"/>
      <c r="X5" s="2248"/>
      <c r="Y5" s="2249"/>
      <c r="Z5" s="2249"/>
      <c r="AA5" s="2249"/>
      <c r="AB5" s="2249"/>
      <c r="AC5" s="2249"/>
      <c r="AD5" s="2249"/>
      <c r="AE5" s="2249"/>
      <c r="AF5" s="2250"/>
      <c r="AG5" s="2248">
        <f>INDEX(PT_DIFFERENTIATION_IST_TE,MATCH(D5,PT_DIFFERENTIATION_IST_TE_ID,0))</f>
      </c>
      <c r="AH5" s="2249"/>
      <c r="AI5" s="2249"/>
      <c r="AJ5" s="2249"/>
      <c r="AK5" s="2249"/>
      <c r="AL5" s="2249"/>
      <c r="AM5" s="2249"/>
      <c r="AN5" s="2249"/>
      <c r="AO5" s="2249"/>
      <c r="AP5" s="2250"/>
      <c r="AQ5" s="1264" t="s">
        <v>418</v>
      </c>
      <c r="AS5" s="506"/>
      <c r="AT5" s="506" t="str">
        <f>IF(V5="","",V5)</f>
        <v>Источник тепловой энергии  </v>
      </c>
      <c r="AU5" s="506"/>
      <c r="AV5" s="506"/>
      <c r="AW5" s="1161">
        <v>0</v>
      </c>
    </row>
    <row customHeight="1" ht="14.25" hidden="1">
      <c r="A6" s="1273"/>
      <c r="B6" s="1273"/>
      <c r="C6" s="1273"/>
      <c r="D6" s="1273"/>
      <c r="E6" s="2296"/>
      <c r="F6" s="2296"/>
      <c r="G6" s="2296"/>
      <c r="H6" s="2296"/>
      <c r="I6" s="2133">
        <f>U5&amp;".1"</f>
      </c>
      <c r="J6" s="1273"/>
      <c r="K6" s="1273"/>
      <c r="L6" s="1273"/>
      <c r="M6" s="1316" t="s">
        <v>419</v>
      </c>
      <c r="N6" s="515"/>
      <c r="Q6" s="2263">
        <v>1</v>
      </c>
      <c r="R6" s="1337"/>
      <c r="S6" s="1337"/>
      <c r="T6" s="362"/>
      <c r="U6" s="1048"/>
      <c r="V6" s="1389"/>
      <c r="W6" s="1390"/>
      <c r="X6" s="2302"/>
      <c r="Y6" s="2303"/>
      <c r="Z6" s="2303"/>
      <c r="AA6" s="2303"/>
      <c r="AB6" s="2303"/>
      <c r="AC6" s="2303"/>
      <c r="AD6" s="2303"/>
      <c r="AE6" s="2303"/>
      <c r="AF6" s="2304"/>
      <c r="AG6" s="2302"/>
      <c r="AH6" s="2303"/>
      <c r="AI6" s="2303"/>
      <c r="AJ6" s="2303"/>
      <c r="AK6" s="2303"/>
      <c r="AL6" s="2303"/>
      <c r="AM6" s="2303"/>
      <c r="AN6" s="2303"/>
      <c r="AO6" s="2303"/>
      <c r="AP6" s="2304"/>
      <c r="AQ6" s="1391"/>
      <c r="AS6" s="506"/>
      <c r="AT6" s="506" t="str">
        <f>IF(V6="","",V6)</f>
        <v/>
      </c>
      <c r="AU6" s="506"/>
      <c r="AV6" s="506"/>
      <c r="AW6" s="1161">
        <v>0</v>
      </c>
    </row>
    <row customHeight="1" ht="21" hidden="1">
      <c r="A7" s="1273"/>
      <c r="B7" s="1273"/>
      <c r="C7" s="1273"/>
      <c r="D7" s="1273"/>
      <c r="E7" s="2296"/>
      <c r="F7" s="2296"/>
      <c r="G7" s="2296"/>
      <c r="H7" s="2296"/>
      <c r="I7" s="2107"/>
      <c r="J7" s="2133">
        <f>I6&amp;".1"</f>
      </c>
      <c r="K7" s="1273"/>
      <c r="L7" s="1273"/>
      <c r="M7" s="1316" t="s">
        <v>422</v>
      </c>
      <c r="N7" s="515"/>
      <c r="O7" s="333"/>
      <c r="Q7" s="2263"/>
      <c r="R7" s="2263">
        <v>1</v>
      </c>
      <c r="S7" s="524"/>
      <c r="T7" s="363"/>
      <c r="U7" s="1342">
        <f>$J7</f>
      </c>
      <c r="V7" s="292" t="s">
        <v>423</v>
      </c>
      <c r="W7" s="306"/>
      <c r="X7" s="2251"/>
      <c r="Y7" s="2252"/>
      <c r="Z7" s="2252"/>
      <c r="AA7" s="2252"/>
      <c r="AB7" s="2252"/>
      <c r="AC7" s="2241"/>
      <c r="AD7" s="2241"/>
      <c r="AE7" s="2241"/>
      <c r="AF7" s="2314"/>
      <c r="AG7" s="2251"/>
      <c r="AH7" s="2252"/>
      <c r="AI7" s="2252"/>
      <c r="AJ7" s="2252"/>
      <c r="AK7" s="2252"/>
      <c r="AL7" s="2252"/>
      <c r="AM7" s="2252"/>
      <c r="AN7" s="2252"/>
      <c r="AO7" s="2252"/>
      <c r="AP7" s="2253"/>
      <c r="AQ7" s="1264" t="s">
        <v>424</v>
      </c>
      <c r="AS7" s="506"/>
      <c r="AT7" s="506" t="str">
        <f>IF(V7="","",V7)</f>
        <v>Группа потребителей</v>
      </c>
      <c r="AU7" s="506"/>
      <c r="AV7" s="506"/>
      <c r="AW7" s="1161">
        <v>0</v>
      </c>
    </row>
    <row customHeight="1" ht="21" hidden="1">
      <c r="A8" s="1273"/>
      <c r="B8" s="1273"/>
      <c r="C8" s="1273"/>
      <c r="D8" s="1273"/>
      <c r="E8" s="2296"/>
      <c r="F8" s="2296"/>
      <c r="G8" s="2296"/>
      <c r="H8" s="2296"/>
      <c r="I8" s="2107"/>
      <c r="J8" s="2107"/>
      <c r="K8" s="2133">
        <f>J7&amp;".1"</f>
      </c>
      <c r="L8" s="145"/>
      <c r="M8" s="1316" t="s">
        <v>425</v>
      </c>
      <c r="N8" s="515"/>
      <c r="O8" s="333"/>
      <c r="P8" s="333"/>
      <c r="Q8" s="2263"/>
      <c r="R8" s="2263"/>
      <c r="S8" s="2263">
        <v>1</v>
      </c>
      <c r="T8" s="363"/>
      <c r="U8" s="1342">
        <f>$K8</f>
      </c>
      <c r="V8" s="1353"/>
      <c r="W8" s="306"/>
      <c r="X8" s="757"/>
      <c r="Y8" s="757"/>
      <c r="Z8" s="757"/>
      <c r="AA8" s="757"/>
      <c r="AB8" s="1411"/>
      <c r="AC8" s="2271"/>
      <c r="AD8" s="2113" t="s">
        <v>62</v>
      </c>
      <c r="AE8" s="2271"/>
      <c r="AF8" s="2113" t="s">
        <v>62</v>
      </c>
      <c r="AG8" s="1413"/>
      <c r="AH8" s="757"/>
      <c r="AI8" s="757"/>
      <c r="AJ8" s="757"/>
      <c r="AK8" s="1263"/>
      <c r="AL8" s="2271"/>
      <c r="AM8" s="2113" t="s">
        <v>62</v>
      </c>
      <c r="AN8" s="2271"/>
      <c r="AO8" s="2113" t="s">
        <v>62</v>
      </c>
      <c r="AP8" s="331"/>
      <c r="AQ8" s="1313" t="s">
        <v>465</v>
      </c>
      <c r="AR8" s="517">
        <f>STRCHECKDATE(X10:AP10)</f>
      </c>
      <c r="AS8" s="506"/>
      <c r="AT8" s="506" t="str">
        <f>IF(V8="","",V8)</f>
        <v/>
      </c>
      <c r="AU8" s="506"/>
      <c r="AV8" s="506"/>
      <c r="AW8" s="1161">
        <v>0</v>
      </c>
    </row>
    <row customHeight="1" ht="21" hidden="1">
      <c r="A9" s="1273"/>
      <c r="B9" s="1273"/>
      <c r="C9" s="1273"/>
      <c r="D9" s="1273"/>
      <c r="E9" s="2296"/>
      <c r="F9" s="2296"/>
      <c r="G9" s="2296"/>
      <c r="H9" s="2296"/>
      <c r="I9" s="2107"/>
      <c r="J9" s="2107"/>
      <c r="K9" s="2107"/>
      <c r="L9" s="2133">
        <f>K8&amp;".1"</f>
      </c>
      <c r="M9" s="1316"/>
      <c r="N9" s="515"/>
      <c r="O9" s="333"/>
      <c r="P9" s="333"/>
      <c r="Q9" s="2263"/>
      <c r="R9" s="2263"/>
      <c r="S9" s="2263"/>
      <c r="T9" s="363"/>
      <c r="U9" s="1342">
        <f>$L9</f>
      </c>
      <c r="V9" s="1397"/>
      <c r="W9" s="306"/>
      <c r="X9" s="331"/>
      <c r="Y9" s="757"/>
      <c r="Z9" s="757"/>
      <c r="AA9" s="757"/>
      <c r="AB9" s="1411"/>
      <c r="AC9" s="2315"/>
      <c r="AD9" s="2113"/>
      <c r="AE9" s="2315"/>
      <c r="AF9" s="2113"/>
      <c r="AG9" s="1413"/>
      <c r="AH9" s="757"/>
      <c r="AI9" s="757"/>
      <c r="AJ9" s="757"/>
      <c r="AK9" s="1263"/>
      <c r="AL9" s="2315"/>
      <c r="AM9" s="2113"/>
      <c r="AN9" s="2315"/>
      <c r="AO9" s="2113"/>
      <c r="AP9" s="331"/>
      <c r="AQ9" s="2259" t="s">
        <v>466</v>
      </c>
      <c r="AS9" s="506"/>
      <c r="AT9" s="506"/>
      <c r="AU9" s="506"/>
      <c r="AV9" s="506"/>
      <c r="AW9" s="1161">
        <v>0</v>
      </c>
    </row>
    <row customHeight="1" ht="14.25" hidden="1">
      <c r="A10" s="1273"/>
      <c r="B10" s="1273"/>
      <c r="C10" s="1273"/>
      <c r="D10" s="1273"/>
      <c r="E10" s="2296"/>
      <c r="F10" s="2296"/>
      <c r="G10" s="2296"/>
      <c r="H10" s="2296"/>
      <c r="I10" s="2107"/>
      <c r="J10" s="2107"/>
      <c r="K10" s="2107"/>
      <c r="L10" s="2133"/>
      <c r="M10" s="1316"/>
      <c r="N10" s="515"/>
      <c r="O10" s="333"/>
      <c r="P10" s="333"/>
      <c r="Q10" s="2263"/>
      <c r="R10" s="2263"/>
      <c r="S10" s="2263"/>
      <c r="T10" s="363"/>
      <c r="U10" s="1348"/>
      <c r="V10" s="306"/>
      <c r="W10" s="306"/>
      <c r="X10" s="331"/>
      <c r="Y10" s="331"/>
      <c r="Z10" s="331"/>
      <c r="AA10" s="331"/>
      <c r="AB10" s="1412" t="str">
        <f>AC8&amp;"-"&amp;AE8</f>
        <v>-</v>
      </c>
      <c r="AC10" s="2315"/>
      <c r="AD10" s="2113"/>
      <c r="AE10" s="2315"/>
      <c r="AF10" s="2113"/>
      <c r="AG10" s="1388"/>
      <c r="AH10" s="331"/>
      <c r="AI10" s="331"/>
      <c r="AJ10" s="331"/>
      <c r="AK10" s="334" t="str">
        <f>AL8&amp;"-"&amp;AN8</f>
        <v>-</v>
      </c>
      <c r="AL10" s="2315"/>
      <c r="AM10" s="2113"/>
      <c r="AN10" s="2315"/>
      <c r="AO10" s="2113"/>
      <c r="AP10" s="331"/>
      <c r="AQ10" s="2260"/>
      <c r="AS10" s="506"/>
      <c r="AT10" s="506" t="str">
        <f>IF(V10="","",V10)</f>
        <v/>
      </c>
      <c r="AU10" s="506"/>
      <c r="AV10" s="506"/>
      <c r="AW10" s="1161">
        <v>0</v>
      </c>
    </row>
    <row customHeight="1" ht="11.25" hidden="1">
      <c r="A11" s="1273"/>
      <c r="B11" s="1273"/>
      <c r="C11" s="1273"/>
      <c r="D11" s="1273"/>
      <c r="E11" s="2296"/>
      <c r="F11" s="2296"/>
      <c r="G11" s="2296"/>
      <c r="H11" s="2296"/>
      <c r="I11" s="2107"/>
      <c r="J11" s="2107"/>
      <c r="K11" s="2133"/>
      <c r="L11" s="1273"/>
      <c r="M11" s="1316"/>
      <c r="N11" s="515"/>
      <c r="O11" s="333"/>
      <c r="P11" s="333"/>
      <c r="Q11" s="2263"/>
      <c r="R11" s="2263"/>
      <c r="S11" s="2263"/>
      <c r="T11" s="363"/>
      <c r="U11" s="1284"/>
      <c r="V11" s="294" t="s">
        <v>467</v>
      </c>
      <c r="W11" s="1398"/>
      <c r="X11" s="1399"/>
      <c r="Y11" s="1399"/>
      <c r="Z11" s="1399"/>
      <c r="AA11" s="1399"/>
      <c r="AB11" s="1400"/>
      <c r="AC11" s="2315"/>
      <c r="AD11" s="2113"/>
      <c r="AE11" s="2315"/>
      <c r="AF11" s="2113"/>
      <c r="AG11" s="1399"/>
      <c r="AH11" s="1399"/>
      <c r="AI11" s="1399"/>
      <c r="AJ11" s="1399"/>
      <c r="AK11" s="1400"/>
      <c r="AL11" s="2315"/>
      <c r="AM11" s="2113"/>
      <c r="AN11" s="2315"/>
      <c r="AO11" s="2113"/>
      <c r="AP11" s="1401"/>
      <c r="AQ11" s="2260"/>
      <c r="AS11" s="506"/>
      <c r="AT11" s="506"/>
      <c r="AU11" s="506"/>
      <c r="AV11" s="506"/>
      <c r="AW11" s="1161">
        <v>0</v>
      </c>
    </row>
    <row customHeight="1" ht="15" hidden="1">
      <c r="A12" s="1273"/>
      <c r="B12" s="1273"/>
      <c r="C12" s="1273"/>
      <c r="D12" s="1273"/>
      <c r="E12" s="2296"/>
      <c r="F12" s="2296"/>
      <c r="G12" s="2296"/>
      <c r="H12" s="2296"/>
      <c r="I12" s="2107"/>
      <c r="J12" s="2133"/>
      <c r="K12" s="1273"/>
      <c r="L12" s="1273"/>
      <c r="M12" s="1316"/>
      <c r="N12" s="515"/>
      <c r="O12" s="333"/>
      <c r="Q12" s="2263"/>
      <c r="R12" s="2263"/>
      <c r="S12" s="1337"/>
      <c r="T12" s="362"/>
      <c r="U12" s="1284"/>
      <c r="V12" s="293" t="s">
        <v>427</v>
      </c>
      <c r="W12" s="373"/>
      <c r="X12" s="373"/>
      <c r="Y12" s="373"/>
      <c r="Z12" s="373"/>
      <c r="AA12" s="373"/>
      <c r="AB12" s="373"/>
      <c r="AC12" s="1414"/>
      <c r="AD12" s="1414"/>
      <c r="AE12" s="1414"/>
      <c r="AF12" s="1414"/>
      <c r="AG12" s="373"/>
      <c r="AH12" s="373"/>
      <c r="AI12" s="373"/>
      <c r="AJ12" s="373"/>
      <c r="AK12" s="373"/>
      <c r="AL12" s="373"/>
      <c r="AM12" s="373"/>
      <c r="AN12" s="373"/>
      <c r="AO12" s="373"/>
      <c r="AP12" s="330"/>
      <c r="AQ12" s="2261"/>
      <c r="AS12" s="506"/>
      <c r="AT12" s="506" t="str">
        <f>IF(V12="","",V12)</f>
        <v>Добавить вид теплоносителя (параметры теплоносителя)</v>
      </c>
      <c r="AU12" s="506"/>
      <c r="AV12" s="506"/>
      <c r="AW12" s="1161">
        <v>0</v>
      </c>
    </row>
    <row customHeight="1" ht="11.25" hidden="1">
      <c r="A13" s="1273"/>
      <c r="B13" s="1273"/>
      <c r="C13" s="1273"/>
      <c r="D13" s="1273"/>
      <c r="E13" s="2296"/>
      <c r="F13" s="2296"/>
      <c r="G13" s="2296"/>
      <c r="H13" s="2296"/>
      <c r="I13" s="2133"/>
      <c r="J13" s="1273"/>
      <c r="K13" s="1273"/>
      <c r="L13" s="1273"/>
      <c r="M13" s="1316"/>
      <c r="N13" s="515"/>
      <c r="Q13" s="2263"/>
      <c r="R13" s="1337"/>
      <c r="S13" s="1337"/>
      <c r="T13" s="362"/>
      <c r="U13" s="1284"/>
      <c r="V13" s="371" t="s">
        <v>428</v>
      </c>
      <c r="W13" s="373"/>
      <c r="X13" s="373"/>
      <c r="Y13" s="373"/>
      <c r="Z13" s="373"/>
      <c r="AA13" s="373"/>
      <c r="AB13" s="373"/>
      <c r="AC13" s="373"/>
      <c r="AD13" s="373"/>
      <c r="AE13" s="373"/>
      <c r="AF13" s="372"/>
      <c r="AG13" s="373"/>
      <c r="AH13" s="373"/>
      <c r="AI13" s="373"/>
      <c r="AJ13" s="373"/>
      <c r="AK13" s="373"/>
      <c r="AL13" s="373"/>
      <c r="AM13" s="373"/>
      <c r="AN13" s="373"/>
      <c r="AO13" s="372"/>
      <c r="AP13" s="373"/>
      <c r="AQ13" s="309"/>
      <c r="AS13" s="506"/>
      <c r="AT13" s="506" t="str">
        <f>IF(V13="","",V13)</f>
        <v>Добавить группу потребителей</v>
      </c>
      <c r="AU13" s="506"/>
      <c r="AV13" s="506"/>
      <c r="AW13" s="1161">
        <v>0</v>
      </c>
    </row>
    <row customHeight="1" ht="14.25" hidden="1">
      <c r="A14" s="1273"/>
      <c r="B14" s="1273"/>
      <c r="C14" s="1273"/>
      <c r="D14" s="1273"/>
      <c r="E14" s="2296"/>
      <c r="F14" s="2296"/>
      <c r="G14" s="2296"/>
      <c r="H14" s="2295"/>
      <c r="I14" s="1273"/>
      <c r="J14" s="1273"/>
      <c r="K14" s="1273"/>
      <c r="L14" s="1273"/>
      <c r="M14" s="1316"/>
      <c r="N14" s="694"/>
      <c r="O14" s="694"/>
      <c r="P14" s="515"/>
      <c r="Q14" s="366"/>
      <c r="R14" s="381"/>
      <c r="S14" s="361"/>
      <c r="T14" s="366"/>
      <c r="U14" s="1392"/>
      <c r="V14" s="1393"/>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5"/>
      <c r="AS14" s="506"/>
      <c r="AT14" s="506" t="str">
        <f>IF(V14="","",V14)</f>
        <v/>
      </c>
      <c r="AU14" s="506"/>
      <c r="AV14" s="506"/>
      <c r="AW14" s="1161">
        <v>0</v>
      </c>
    </row>
    <row s="1648" customFormat="1" customHeight="1" ht="14.25" hidden="1">
      <c r="A15" s="1380"/>
      <c r="B15" s="1380"/>
      <c r="C15" s="1380"/>
      <c r="D15" s="1380"/>
      <c r="E15" s="2296"/>
      <c r="F15" s="2296"/>
      <c r="G15" s="2295"/>
      <c r="H15" s="1380"/>
      <c r="I15" s="1380"/>
      <c r="J15" s="1380"/>
      <c r="K15" s="1380"/>
      <c r="L15" s="1380"/>
      <c r="M15" s="1383"/>
      <c r="N15" s="1384"/>
      <c r="O15" s="1384"/>
      <c r="P15" s="357"/>
      <c r="Q15" s="1322"/>
      <c r="R15" s="1323"/>
      <c r="S15" s="1322"/>
      <c r="T15" s="1322"/>
      <c r="U15" s="1324"/>
      <c r="V15" s="1325" t="s">
        <v>430</v>
      </c>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S15" s="795"/>
      <c r="AT15" s="795" t="str">
        <f>IF(V15="","",V15)</f>
        <v>Добавить источник для дифференциации</v>
      </c>
      <c r="AU15" s="795"/>
      <c r="AV15" s="795"/>
      <c r="AW15" s="524">
        <v>0</v>
      </c>
    </row>
    <row s="1648" customFormat="1" customHeight="1" ht="14.25" hidden="1">
      <c r="A16" s="1380"/>
      <c r="B16" s="1380"/>
      <c r="C16" s="1380"/>
      <c r="D16" s="1380"/>
      <c r="E16" s="2296"/>
      <c r="F16" s="2295"/>
      <c r="G16" s="1380"/>
      <c r="H16" s="1380"/>
      <c r="I16" s="1380"/>
      <c r="J16" s="1380"/>
      <c r="K16" s="1380"/>
      <c r="L16" s="1380"/>
      <c r="M16" s="1383"/>
      <c r="N16" s="1385"/>
      <c r="O16" s="1385"/>
      <c r="P16" s="357"/>
      <c r="Q16" s="1322"/>
      <c r="R16" s="1323"/>
      <c r="S16" s="1322"/>
      <c r="T16" s="1322"/>
      <c r="U16" s="1328"/>
      <c r="V16" s="1329" t="s">
        <v>251</v>
      </c>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S16" s="795"/>
      <c r="AT16" s="795" t="str">
        <f>IF(V16="","",V16)</f>
        <v>Добавить централизованную систему для дифференциации</v>
      </c>
      <c r="AU16" s="795"/>
      <c r="AV16" s="795"/>
      <c r="AW16" s="524">
        <v>0</v>
      </c>
    </row>
    <row s="1648" customFormat="1" customHeight="1" ht="14.25" hidden="1">
      <c r="A17" s="1380"/>
      <c r="B17" s="1380"/>
      <c r="C17" s="1380"/>
      <c r="D17" s="1380"/>
      <c r="E17" s="2295"/>
      <c r="F17" s="1380"/>
      <c r="G17" s="1380"/>
      <c r="H17" s="1380"/>
      <c r="I17" s="1380"/>
      <c r="J17" s="1380"/>
      <c r="K17" s="1380"/>
      <c r="L17" s="1380"/>
      <c r="M17" s="1383"/>
      <c r="N17" s="1385"/>
      <c r="O17" s="1385"/>
      <c r="P17" s="357"/>
      <c r="Q17" s="1322"/>
      <c r="R17" s="1323"/>
      <c r="S17" s="1322"/>
      <c r="T17" s="1322"/>
      <c r="U17" s="1328"/>
      <c r="V17" s="1331" t="s">
        <v>252</v>
      </c>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S17" s="795"/>
      <c r="AT17" s="795" t="str">
        <f>IF(V17="","",V17)</f>
        <v>Добавить территорию для дифференциации</v>
      </c>
      <c r="AU17" s="795"/>
      <c r="AV17" s="795"/>
      <c r="AW17" s="524">
        <v>0</v>
      </c>
    </row>
    <row customHeight="1" ht="14.25" hidden="1">
      <c r="AF18" s="333"/>
      <c r="AO18" s="333"/>
      <c r="AW18" s="1161">
        <v>0</v>
      </c>
    </row>
    <row customHeight="1" ht="14.25" hidden="1">
      <c r="AG19" s="1366"/>
      <c r="AH19" s="1366"/>
      <c r="AI19" s="1366"/>
      <c r="AJ19" s="1366"/>
      <c r="AK19" s="1367"/>
      <c r="AL19" s="2273"/>
      <c r="AM19" s="2274" t="s">
        <v>62</v>
      </c>
      <c r="AN19" s="2273"/>
      <c r="AO19" s="2274" t="s">
        <v>62</v>
      </c>
      <c r="AW19" s="1161">
        <v>0</v>
      </c>
    </row>
    <row customHeight="1" ht="14.25" hidden="1">
      <c r="AG20" s="1366"/>
      <c r="AH20" s="1366"/>
      <c r="AI20" s="1366"/>
      <c r="AJ20" s="1366"/>
      <c r="AK20" s="1367"/>
      <c r="AL20" s="2273"/>
      <c r="AM20" s="2274"/>
      <c r="AN20" s="2273"/>
      <c r="AO20" s="2274"/>
      <c r="AW20" s="1161">
        <v>0</v>
      </c>
    </row>
    <row customHeight="1" ht="14.25" hidden="1">
      <c r="AG21" s="1366"/>
      <c r="AH21" s="1366"/>
      <c r="AI21" s="1366"/>
      <c r="AJ21" s="1366"/>
      <c r="AK21" s="1367"/>
      <c r="AL21" s="2273"/>
      <c r="AM21" s="2274"/>
      <c r="AN21" s="2273"/>
      <c r="AO21" s="2274"/>
      <c r="AW21" s="1161">
        <v>0</v>
      </c>
    </row>
    <row customHeight="1" ht="14.25" hidden="1">
      <c r="AG22" s="1366"/>
      <c r="AH22" s="1366"/>
      <c r="AI22" s="1366"/>
      <c r="AJ22" s="1366"/>
      <c r="AK22" s="334" t="str">
        <f>AL19&amp;"-"&amp;AN19</f>
        <v>-</v>
      </c>
      <c r="AL22" s="2274"/>
      <c r="AM22" s="2274"/>
      <c r="AN22" s="2274"/>
      <c r="AO22" s="2274"/>
      <c r="AW22" s="1161">
        <v>0</v>
      </c>
    </row>
    <row customHeight="1" ht="14.25" hidden="1">
      <c r="AO23" s="333"/>
      <c r="AW23" s="1161">
        <v>0</v>
      </c>
    </row>
    <row s="1372" customFormat="1" customHeight="1" ht="22.5" hidden="1">
      <c r="A24" s="1161"/>
      <c r="B24" s="1161"/>
      <c r="C24" s="1161"/>
      <c r="D24" s="1161"/>
      <c r="E24" s="1161"/>
      <c r="F24" s="1161"/>
      <c r="G24" s="1161"/>
      <c r="H24" s="1161"/>
      <c r="I24" s="1161"/>
      <c r="J24" s="1161"/>
      <c r="K24" s="1161"/>
      <c r="L24" s="1161"/>
      <c r="M24" s="1333"/>
      <c r="N24" s="1334"/>
      <c r="O24" s="1334"/>
      <c r="P24" s="1351" t="s">
        <v>431</v>
      </c>
      <c r="Q24" s="1368"/>
      <c r="R24" s="1377"/>
      <c r="S24" s="1377"/>
      <c r="T24" s="1377"/>
      <c r="U24" s="735"/>
      <c r="AC24" s="1373"/>
      <c r="AE24" s="1373"/>
      <c r="AF24" s="1372"/>
      <c r="AL24" s="1373"/>
      <c r="AN24" s="1373"/>
      <c r="AO24" s="1372"/>
      <c r="AR24" s="517"/>
      <c r="AS24" s="517"/>
      <c r="AT24" s="517"/>
      <c r="AU24" s="517"/>
      <c r="AV24" s="517"/>
      <c r="AW24" s="1166">
        <v>0</v>
      </c>
    </row>
    <row s="1372" customFormat="1" customHeight="1" ht="14.25" hidden="1">
      <c r="A25" s="1161"/>
      <c r="B25" s="1161"/>
      <c r="C25" s="1161"/>
      <c r="D25" s="1161"/>
      <c r="E25" s="1161"/>
      <c r="F25" s="1161"/>
      <c r="G25" s="1161"/>
      <c r="H25" s="1161"/>
      <c r="I25" s="1161"/>
      <c r="J25" s="1161"/>
      <c r="K25" s="1161"/>
      <c r="L25" s="1161"/>
      <c r="M25" s="1333"/>
      <c r="N25" s="1334"/>
      <c r="O25" s="1334"/>
      <c r="P25" s="1334"/>
      <c r="Q25" s="1368"/>
      <c r="R25" s="1377"/>
      <c r="S25" s="1377"/>
      <c r="T25" s="1377"/>
      <c r="U25" s="735"/>
      <c r="AF25" s="1372"/>
      <c r="AO25" s="1372"/>
      <c r="AR25" s="517"/>
      <c r="AS25" s="517"/>
      <c r="AT25" s="517"/>
      <c r="AU25" s="517"/>
      <c r="AV25" s="517"/>
      <c r="AW25" s="1166">
        <v>0</v>
      </c>
    </row>
    <row s="1372" customFormat="1" customHeight="1" ht="14.25" hidden="1">
      <c r="A26" s="1161"/>
      <c r="B26" s="1161"/>
      <c r="C26" s="1161"/>
      <c r="D26" s="1161"/>
      <c r="E26" s="1161"/>
      <c r="F26" s="1161"/>
      <c r="G26" s="1161"/>
      <c r="H26" s="1161"/>
      <c r="I26" s="1161"/>
      <c r="J26" s="1161"/>
      <c r="K26" s="1161"/>
      <c r="L26" s="1161"/>
      <c r="M26" s="1333"/>
      <c r="N26" s="1334"/>
      <c r="O26" s="1334"/>
      <c r="P26" s="1316" t="s">
        <v>432</v>
      </c>
      <c r="Q26" s="1368"/>
      <c r="R26" s="1377"/>
      <c r="S26" s="1377"/>
      <c r="T26" s="1377"/>
      <c r="U26" s="735"/>
      <c r="V26" s="1166" t="s">
        <v>433</v>
      </c>
      <c r="AD26" s="192" t="s">
        <v>434</v>
      </c>
      <c r="AF26" s="192" t="s">
        <v>435</v>
      </c>
      <c r="AG26" s="1166" t="s">
        <v>433</v>
      </c>
      <c r="AM26" s="192" t="s">
        <v>436</v>
      </c>
      <c r="AO26" s="192" t="s">
        <v>435</v>
      </c>
      <c r="AR26" s="517"/>
      <c r="AS26" s="517"/>
      <c r="AT26" s="517"/>
      <c r="AU26" s="517"/>
      <c r="AV26" s="517"/>
      <c r="AW26" s="1166">
        <v>0</v>
      </c>
    </row>
    <row customHeight="1" ht="14.25" hidden="1">
      <c r="P27" s="1316"/>
      <c r="AW27" s="1161">
        <v>0</v>
      </c>
    </row>
    <row customHeight="1" ht="14.25" hidden="1">
      <c r="P28" s="1316"/>
      <c r="AW28" s="1161">
        <v>0</v>
      </c>
    </row>
    <row customHeight="1" ht="14.699999999999998">
      <c r="R29" s="382"/>
      <c r="S29" s="382"/>
      <c r="T29" s="382"/>
      <c r="U29" s="1281"/>
      <c r="V29" s="369"/>
      <c r="W29" s="369"/>
      <c r="X29" s="515"/>
      <c r="Y29" s="515"/>
      <c r="Z29" s="515"/>
      <c r="AA29" s="515"/>
      <c r="AB29" s="515"/>
      <c r="AC29" s="515"/>
      <c r="AD29" s="515"/>
      <c r="AE29" s="515"/>
      <c r="AF29" s="515"/>
      <c r="AG29" s="515"/>
      <c r="AH29" s="515"/>
      <c r="AI29" s="515"/>
      <c r="AJ29" s="515"/>
      <c r="AK29" s="515"/>
      <c r="AL29" s="515"/>
      <c r="AM29" s="515"/>
      <c r="AN29" s="515"/>
      <c r="AO29" s="515"/>
      <c r="AW29" s="1161">
        <v>14</v>
      </c>
    </row>
    <row customHeight="1" ht="56.699999999999996">
      <c r="R30" s="382"/>
      <c r="S30" s="382"/>
      <c r="T30" s="382"/>
      <c r="U30" s="225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4"/>
      <c r="W30" s="2254"/>
      <c r="X30" s="2254"/>
      <c r="Y30" s="2254"/>
      <c r="Z30" s="2254"/>
      <c r="AA30" s="2254"/>
      <c r="AB30" s="2254"/>
      <c r="AC30" s="2254"/>
      <c r="AD30" s="2254"/>
      <c r="AE30" s="2254"/>
      <c r="AF30" s="2254"/>
      <c r="AG30" s="2254"/>
      <c r="AH30" s="2254"/>
      <c r="AI30" s="2254"/>
      <c r="AJ30" s="2254"/>
      <c r="AK30" s="2254"/>
      <c r="AL30" s="2254"/>
      <c r="AM30" s="2254"/>
      <c r="AN30" s="2254"/>
      <c r="AO30" s="1249"/>
      <c r="AW30" s="1161">
        <v>54</v>
      </c>
    </row>
    <row customHeight="1" ht="14.699999999999998">
      <c r="R31" s="382"/>
      <c r="S31" s="382"/>
      <c r="T31" s="382"/>
      <c r="U31" s="2255" t="str">
        <f>IF(org=0,"Не определено",org)</f>
        <v>АО «ДГК» СП «Нерюнгринская ГРЭС»</v>
      </c>
      <c r="V31" s="2255"/>
      <c r="W31" s="2255"/>
      <c r="X31" s="2255"/>
      <c r="Y31" s="2255"/>
      <c r="Z31" s="2255"/>
      <c r="AA31" s="2255"/>
      <c r="AB31" s="2255"/>
      <c r="AC31" s="2255"/>
      <c r="AD31" s="2255"/>
      <c r="AE31" s="2255"/>
      <c r="AF31" s="2255"/>
      <c r="AG31" s="2255"/>
      <c r="AH31" s="2255"/>
      <c r="AI31" s="2255"/>
      <c r="AJ31" s="2255"/>
      <c r="AK31" s="2255"/>
      <c r="AL31" s="2255"/>
      <c r="AM31" s="2255"/>
      <c r="AN31" s="2255"/>
      <c r="AO31" s="1249"/>
      <c r="AW31" s="1161">
        <v>14</v>
      </c>
    </row>
    <row customHeight="1" ht="14.25">
      <c r="R32" s="382"/>
      <c r="S32" s="382"/>
      <c r="T32" s="382"/>
      <c r="U32" s="1281"/>
      <c r="V32" s="369"/>
      <c r="W32" s="369"/>
      <c r="X32" s="328"/>
      <c r="Y32" s="328"/>
      <c r="Z32" s="328"/>
      <c r="AA32" s="328"/>
      <c r="AB32" s="328"/>
      <c r="AC32" s="328"/>
      <c r="AD32" s="328"/>
      <c r="AE32" s="328"/>
      <c r="AF32" s="328"/>
      <c r="AG32" s="328"/>
      <c r="AH32" s="328"/>
      <c r="AI32" s="328"/>
      <c r="AJ32" s="328"/>
      <c r="AK32" s="328"/>
      <c r="AL32" s="328"/>
      <c r="AM32" s="328"/>
      <c r="AN32" s="328"/>
      <c r="AO32" s="328"/>
      <c r="AP32" s="515"/>
      <c r="AW32" s="1161">
        <v>0</v>
      </c>
    </row>
    <row s="1859" customFormat="1" customHeight="1" ht="25.5">
      <c r="A33" s="1254"/>
      <c r="B33" s="1254"/>
      <c r="C33" s="1254"/>
      <c r="D33" s="1254"/>
      <c r="E33" s="1254"/>
      <c r="F33" s="1254"/>
      <c r="G33" s="1254"/>
      <c r="H33" s="1254"/>
      <c r="I33" s="1254"/>
      <c r="J33" s="1254"/>
      <c r="K33" s="1254"/>
      <c r="L33" s="1254"/>
      <c r="M33" s="1386"/>
      <c r="N33" s="1254"/>
      <c r="O33" s="1254"/>
      <c r="P33" s="1254"/>
      <c r="U33" s="2256" t="s">
        <v>42</v>
      </c>
      <c r="V33" s="2256"/>
      <c r="W33" s="1378"/>
      <c r="X33" s="2257" t="str">
        <f>IF(TITLE_NAME_OR_PR_CHANGE="",IF(TITLE_NAME_OR_PR="","",TITLE_NAME_OR_PR),TITLE_NAME_OR_PR_CHANGE)</f>
        <v>Государственный комитет по ценовой политике Республики Саха (Якутия)</v>
      </c>
      <c r="Y33" s="2257"/>
      <c r="Z33" s="2257"/>
      <c r="AA33" s="2257"/>
      <c r="AB33" s="2257"/>
      <c r="AC33" s="2257"/>
      <c r="AD33" s="2257"/>
      <c r="AE33" s="2257"/>
      <c r="AF33" s="332"/>
      <c r="AG33" s="2257" t="str">
        <f>IF(TITLE_NAME_OR_PR_CHANGE="",IF(TITLE_NAME_OR_PR="","",TITLE_NAME_OR_PR),TITLE_NAME_OR_PR_CHANGE)</f>
        <v>Государственный комитет по ценовой политике Республики Саха (Якутия)</v>
      </c>
      <c r="AH33" s="2257"/>
      <c r="AI33" s="2257"/>
      <c r="AJ33" s="2257"/>
      <c r="AK33" s="2257"/>
      <c r="AL33" s="2257"/>
      <c r="AM33" s="2257"/>
      <c r="AN33" s="2257"/>
      <c r="AO33" s="332"/>
      <c r="AP33" s="332"/>
      <c r="AQ33" s="286"/>
      <c r="AR33" s="374"/>
      <c r="AS33" s="374"/>
      <c r="AT33" s="374"/>
      <c r="AU33" s="374"/>
      <c r="AV33" s="374"/>
      <c r="AW33" s="424">
        <v>0</v>
      </c>
    </row>
    <row s="1859" customFormat="1" customHeight="1" ht="18.75">
      <c r="A34" s="1254"/>
      <c r="B34" s="1254"/>
      <c r="C34" s="1254"/>
      <c r="D34" s="1254"/>
      <c r="E34" s="1254"/>
      <c r="F34" s="1254"/>
      <c r="G34" s="1254"/>
      <c r="H34" s="1254"/>
      <c r="I34" s="1254"/>
      <c r="J34" s="1254"/>
      <c r="K34" s="1254"/>
      <c r="L34" s="1254"/>
      <c r="M34" s="1386"/>
      <c r="N34" s="1254"/>
      <c r="O34" s="1254"/>
      <c r="P34" s="1254"/>
      <c r="U34" s="2256" t="s">
        <v>437</v>
      </c>
      <c r="V34" s="2256"/>
      <c r="W34" s="1378"/>
      <c r="X34" s="2270" t="str">
        <f>IF(TITLE_DATE_PR_CHANGE="",IF(TITLE_DATE_PR="","",TITLE_DATE_PR),TITLE_DATE_PR_CHANGE)</f>
        <v>46003.502546296295</v>
      </c>
      <c r="Y34" s="2270"/>
      <c r="Z34" s="2270"/>
      <c r="AA34" s="2270"/>
      <c r="AB34" s="2270"/>
      <c r="AC34" s="2270"/>
      <c r="AD34" s="2270"/>
      <c r="AE34" s="2270"/>
      <c r="AF34" s="332"/>
      <c r="AG34" s="2270" t="str">
        <f>IF(TITLE_DATE_PR_CHANGE="",IF(TITLE_DATE_PR="","",TITLE_DATE_PR),TITLE_DATE_PR_CHANGE)</f>
        <v>46003.502546296295</v>
      </c>
      <c r="AH34" s="2270"/>
      <c r="AI34" s="2270"/>
      <c r="AJ34" s="2270"/>
      <c r="AK34" s="2270"/>
      <c r="AL34" s="2270"/>
      <c r="AM34" s="2270"/>
      <c r="AN34" s="2270"/>
      <c r="AO34" s="332"/>
      <c r="AP34" s="332"/>
      <c r="AQ34" s="286"/>
      <c r="AR34" s="374"/>
      <c r="AS34" s="374"/>
      <c r="AT34" s="374"/>
      <c r="AU34" s="374"/>
      <c r="AV34" s="374"/>
      <c r="AW34" s="424">
        <v>0</v>
      </c>
    </row>
    <row s="1859" customFormat="1" customHeight="1" ht="18.75">
      <c r="A35" s="1254"/>
      <c r="B35" s="1254"/>
      <c r="C35" s="1254"/>
      <c r="D35" s="1254"/>
      <c r="E35" s="1254"/>
      <c r="F35" s="1254"/>
      <c r="G35" s="1254"/>
      <c r="H35" s="1254"/>
      <c r="I35" s="1254"/>
      <c r="J35" s="1254"/>
      <c r="K35" s="1254"/>
      <c r="L35" s="1254"/>
      <c r="M35" s="1386"/>
      <c r="N35" s="1254"/>
      <c r="O35" s="1254"/>
      <c r="P35" s="1254"/>
      <c r="U35" s="2256" t="s">
        <v>438</v>
      </c>
      <c r="V35" s="2256"/>
      <c r="W35" s="1378"/>
      <c r="X35" s="2257" t="str">
        <f>IF(TITLE_NUMBER_PR_CHANGE="",IF(TITLE_NUMBER_PR="","",TITLE_NUMBER_PR),TITLE_NUMBER_PR_CHANGE)</f>
        <v>№ 222</v>
      </c>
      <c r="Y35" s="2257"/>
      <c r="Z35" s="2257"/>
      <c r="AA35" s="2257"/>
      <c r="AB35" s="2257"/>
      <c r="AC35" s="2257"/>
      <c r="AD35" s="2257"/>
      <c r="AE35" s="2257"/>
      <c r="AF35" s="332"/>
      <c r="AG35" s="2257" t="str">
        <f>IF(TITLE_NUMBER_PR_CHANGE="",IF(TITLE_NUMBER_PR="","",TITLE_NUMBER_PR),TITLE_NUMBER_PR_CHANGE)</f>
        <v>№ 222</v>
      </c>
      <c r="AH35" s="2257"/>
      <c r="AI35" s="2257"/>
      <c r="AJ35" s="2257"/>
      <c r="AK35" s="2257"/>
      <c r="AL35" s="2257"/>
      <c r="AM35" s="2257"/>
      <c r="AN35" s="2257"/>
      <c r="AO35" s="332"/>
      <c r="AP35" s="332"/>
      <c r="AQ35" s="286"/>
      <c r="AR35" s="374"/>
      <c r="AS35" s="374"/>
      <c r="AT35" s="374"/>
      <c r="AU35" s="374"/>
      <c r="AV35" s="374"/>
      <c r="AW35" s="424">
        <v>0</v>
      </c>
    </row>
    <row s="1859" customFormat="1" customHeight="1" ht="18.75">
      <c r="A36" s="1254"/>
      <c r="B36" s="1254"/>
      <c r="C36" s="1254"/>
      <c r="D36" s="1254"/>
      <c r="E36" s="1254"/>
      <c r="F36" s="1254"/>
      <c r="G36" s="1254"/>
      <c r="H36" s="1254"/>
      <c r="I36" s="1254"/>
      <c r="J36" s="1254"/>
      <c r="K36" s="1254"/>
      <c r="L36" s="1254"/>
      <c r="M36" s="1386"/>
      <c r="N36" s="1254"/>
      <c r="O36" s="1254"/>
      <c r="P36" s="1254"/>
      <c r="U36" s="2256" t="s">
        <v>44</v>
      </c>
      <c r="V36" s="2256"/>
      <c r="W36" s="1378"/>
      <c r="X36" s="2257" t="str">
        <f>IF(TITLE_IST_PUB_CHANGE="",IF(TITLE_IST_PUB="","",TITLE_IST_PUB),TITLE_IST_PUB_CHANGE)</f>
        <v>Официальный интернет-портал правовой информации http://pravo.gov.ru/ </v>
      </c>
      <c r="Y36" s="2257"/>
      <c r="Z36" s="2257"/>
      <c r="AA36" s="2257"/>
      <c r="AB36" s="2257"/>
      <c r="AC36" s="2257"/>
      <c r="AD36" s="2257"/>
      <c r="AE36" s="2257"/>
      <c r="AF36" s="332"/>
      <c r="AG36" s="2257" t="str">
        <f>IF(TITLE_IST_PUB_CHANGE="",IF(TITLE_IST_PUB="","",TITLE_IST_PUB),TITLE_IST_PUB_CHANGE)</f>
        <v>Официальный интернет-портал правовой информации http://pravo.gov.ru/ </v>
      </c>
      <c r="AH36" s="2257"/>
      <c r="AI36" s="2257"/>
      <c r="AJ36" s="2257"/>
      <c r="AK36" s="2257"/>
      <c r="AL36" s="2257"/>
      <c r="AM36" s="2257"/>
      <c r="AN36" s="2257"/>
      <c r="AO36" s="332"/>
      <c r="AP36" s="332"/>
      <c r="AQ36" s="286"/>
      <c r="AR36" s="374"/>
      <c r="AS36" s="374"/>
      <c r="AT36" s="374"/>
      <c r="AU36" s="374"/>
      <c r="AV36" s="374"/>
      <c r="AW36" s="424">
        <v>0</v>
      </c>
    </row>
    <row customHeight="1" ht="14.25" hidden="1">
      <c r="R37" s="382"/>
      <c r="S37" s="382"/>
      <c r="T37" s="382"/>
      <c r="U37" s="1281"/>
      <c r="V37" s="369"/>
      <c r="W37" s="369"/>
      <c r="X37" s="328"/>
      <c r="Y37" s="328"/>
      <c r="Z37" s="328"/>
      <c r="AA37" s="328"/>
      <c r="AB37" s="328"/>
      <c r="AC37" s="328"/>
      <c r="AD37" s="328"/>
      <c r="AE37" s="328"/>
      <c r="AF37" s="328"/>
      <c r="AG37" s="328"/>
      <c r="AH37" s="328"/>
      <c r="AI37" s="328"/>
      <c r="AJ37" s="328"/>
      <c r="AK37" s="328"/>
      <c r="AL37" s="328"/>
      <c r="AM37" s="328"/>
      <c r="AN37" s="328"/>
      <c r="AO37" s="328"/>
      <c r="AP37" s="515"/>
      <c r="AW37" s="1161">
        <v>0</v>
      </c>
    </row>
    <row s="1859" customFormat="1" customHeight="1" ht="18.75" hidden="1">
      <c r="A38" s="1254"/>
      <c r="B38" s="1254"/>
      <c r="C38" s="1254"/>
      <c r="D38" s="1254"/>
      <c r="E38" s="1254"/>
      <c r="F38" s="1254"/>
      <c r="G38" s="1254"/>
      <c r="H38" s="1254"/>
      <c r="I38" s="1254"/>
      <c r="J38" s="1254"/>
      <c r="K38" s="1254"/>
      <c r="L38" s="1254"/>
      <c r="M38" s="1386"/>
      <c r="N38" s="1254"/>
      <c r="O38" s="1254"/>
      <c r="P38" s="1254"/>
      <c r="U38" s="2256" t="s">
        <v>439</v>
      </c>
      <c r="V38" s="2256"/>
      <c r="W38" s="1378"/>
      <c r="X38" s="2270" t="str">
        <f>IF(TITLE_DATE_PR_CHANGE="",IF(TITLE_DATE_PR="","",TITLE_DATE_PR),TITLE_DATE_PR_CHANGE)</f>
        <v>46003.502546296295</v>
      </c>
      <c r="Y38" s="2270"/>
      <c r="Z38" s="2270"/>
      <c r="AA38" s="2270"/>
      <c r="AB38" s="2270"/>
      <c r="AC38" s="2270"/>
      <c r="AD38" s="2270"/>
      <c r="AE38" s="2270"/>
      <c r="AF38" s="332"/>
      <c r="AG38" s="2270" t="str">
        <f>IF(TITLE_DATE_PR_CHANGE="",IF(TITLE_DATE_PR="","",TITLE_DATE_PR),TITLE_DATE_PR_CHANGE)</f>
        <v>46003.502546296295</v>
      </c>
      <c r="AH38" s="2270"/>
      <c r="AI38" s="2270"/>
      <c r="AJ38" s="2270"/>
      <c r="AK38" s="2270"/>
      <c r="AL38" s="2270"/>
      <c r="AM38" s="2270"/>
      <c r="AN38" s="2270"/>
      <c r="AO38" s="332"/>
      <c r="AP38" s="332"/>
      <c r="AQ38" s="286"/>
      <c r="AR38" s="374"/>
      <c r="AS38" s="374"/>
      <c r="AT38" s="374"/>
      <c r="AU38" s="374"/>
      <c r="AV38" s="374"/>
      <c r="AW38" s="424">
        <v>0</v>
      </c>
    </row>
    <row s="1859" customFormat="1" customHeight="1" ht="18.75" hidden="1">
      <c r="A39" s="1254"/>
      <c r="B39" s="1254"/>
      <c r="C39" s="1254"/>
      <c r="D39" s="1254"/>
      <c r="E39" s="1254"/>
      <c r="F39" s="1254"/>
      <c r="G39" s="1254"/>
      <c r="H39" s="1254"/>
      <c r="I39" s="1254"/>
      <c r="J39" s="1254"/>
      <c r="K39" s="1254"/>
      <c r="L39" s="1254"/>
      <c r="M39" s="1386"/>
      <c r="N39" s="1254"/>
      <c r="O39" s="1254"/>
      <c r="P39" s="1254"/>
      <c r="U39" s="2256" t="s">
        <v>440</v>
      </c>
      <c r="V39" s="2256"/>
      <c r="W39" s="1378"/>
      <c r="X39" s="2257" t="str">
        <f>IF(TITLE_NUMBER_PR_CHANGE="",IF(TITLE_NUMBER_PR="","",TITLE_NUMBER_PR),TITLE_NUMBER_PR_CHANGE)</f>
        <v>№ 222</v>
      </c>
      <c r="Y39" s="2257"/>
      <c r="Z39" s="2257"/>
      <c r="AA39" s="2257"/>
      <c r="AB39" s="2257"/>
      <c r="AC39" s="2257"/>
      <c r="AD39" s="2257"/>
      <c r="AE39" s="2257"/>
      <c r="AF39" s="332"/>
      <c r="AG39" s="2257" t="str">
        <f>IF(TITLE_NUMBER_PR_CHANGE="",IF(TITLE_NUMBER_PR="","",TITLE_NUMBER_PR),TITLE_NUMBER_PR_CHANGE)</f>
        <v>№ 222</v>
      </c>
      <c r="AH39" s="2257"/>
      <c r="AI39" s="2257"/>
      <c r="AJ39" s="2257"/>
      <c r="AK39" s="2257"/>
      <c r="AL39" s="2257"/>
      <c r="AM39" s="2257"/>
      <c r="AN39" s="2257"/>
      <c r="AO39" s="332"/>
      <c r="AP39" s="332"/>
      <c r="AQ39" s="286"/>
      <c r="AR39" s="374"/>
      <c r="AS39" s="374"/>
      <c r="AT39" s="374"/>
      <c r="AU39" s="374"/>
      <c r="AV39" s="374"/>
      <c r="AW39" s="424">
        <v>0</v>
      </c>
    </row>
    <row s="1859" customFormat="1" customHeight="1" ht="0">
      <c r="A40" s="1254"/>
      <c r="B40" s="1254"/>
      <c r="C40" s="1254"/>
      <c r="D40" s="1254"/>
      <c r="E40" s="1254"/>
      <c r="F40" s="1254"/>
      <c r="G40" s="1254"/>
      <c r="H40" s="1254"/>
      <c r="I40" s="1254"/>
      <c r="J40" s="1254"/>
      <c r="K40" s="1254"/>
      <c r="L40" s="1254"/>
      <c r="M40" s="1386"/>
      <c r="N40" s="1254"/>
      <c r="O40" s="1254"/>
      <c r="P40" s="1254"/>
      <c r="U40" s="329"/>
      <c r="V40" s="329"/>
      <c r="W40" s="1346"/>
      <c r="X40" s="332"/>
      <c r="Y40" s="332"/>
      <c r="Z40" s="332"/>
      <c r="AA40" s="332"/>
      <c r="AB40" s="332"/>
      <c r="AC40" s="332"/>
      <c r="AD40" s="332"/>
      <c r="AE40" s="332"/>
      <c r="AF40" s="284" t="s">
        <v>441</v>
      </c>
      <c r="AG40" s="332"/>
      <c r="AH40" s="332"/>
      <c r="AI40" s="332"/>
      <c r="AJ40" s="332"/>
      <c r="AK40" s="332"/>
      <c r="AL40" s="332"/>
      <c r="AM40" s="332"/>
      <c r="AN40" s="332"/>
      <c r="AO40" s="284" t="s">
        <v>441</v>
      </c>
      <c r="AR40" s="374"/>
      <c r="AS40" s="374"/>
      <c r="AT40" s="374"/>
      <c r="AU40" s="374"/>
      <c r="AV40" s="374"/>
      <c r="AW40" s="424">
        <v>0</v>
      </c>
    </row>
    <row customHeight="1" ht="14.699999999999998">
      <c r="R41" s="382"/>
      <c r="S41" s="382"/>
      <c r="T41" s="382"/>
      <c r="U41" s="1281"/>
      <c r="V41" s="369"/>
      <c r="W41" s="1250"/>
      <c r="X41" s="2258"/>
      <c r="Y41" s="2258"/>
      <c r="Z41" s="2258"/>
      <c r="AA41" s="2258"/>
      <c r="AB41" s="2258"/>
      <c r="AC41" s="2258"/>
      <c r="AD41" s="2258"/>
      <c r="AE41" s="2258"/>
      <c r="AF41" s="2258"/>
      <c r="AG41" s="2258"/>
      <c r="AH41" s="2258"/>
      <c r="AI41" s="2258"/>
      <c r="AJ41" s="2258"/>
      <c r="AK41" s="2258"/>
      <c r="AL41" s="2258"/>
      <c r="AM41" s="2258"/>
      <c r="AN41" s="2258"/>
      <c r="AO41" s="2258"/>
      <c r="AW41" s="1161">
        <v>14</v>
      </c>
    </row>
    <row customHeight="1" ht="14.699999999999998">
      <c r="R42" s="382"/>
      <c r="S42" s="382"/>
      <c r="T42" s="382"/>
      <c r="U42" s="2133" t="s">
        <v>316</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317</v>
      </c>
      <c r="AW42" s="1161">
        <v>14</v>
      </c>
    </row>
    <row customHeight="1" ht="14.699999999999998">
      <c r="R43" s="382"/>
      <c r="S43" s="382"/>
      <c r="T43" s="382"/>
      <c r="U43" s="2279" t="s">
        <v>89</v>
      </c>
      <c r="V43" s="2215" t="s">
        <v>442</v>
      </c>
      <c r="W43" s="307"/>
      <c r="X43" s="2280" t="s">
        <v>443</v>
      </c>
      <c r="Y43" s="2297"/>
      <c r="Z43" s="2297"/>
      <c r="AA43" s="2297"/>
      <c r="AB43" s="2297"/>
      <c r="AC43" s="2281"/>
      <c r="AD43" s="2281"/>
      <c r="AE43" s="2282"/>
      <c r="AF43" s="2283" t="s">
        <v>444</v>
      </c>
      <c r="AG43" s="2280" t="s">
        <v>443</v>
      </c>
      <c r="AH43" s="2297"/>
      <c r="AI43" s="2297"/>
      <c r="AJ43" s="2297"/>
      <c r="AK43" s="2297"/>
      <c r="AL43" s="2281"/>
      <c r="AM43" s="2281"/>
      <c r="AN43" s="2282"/>
      <c r="AO43" s="2283" t="s">
        <v>445</v>
      </c>
      <c r="AP43" s="2286" t="s">
        <v>446</v>
      </c>
      <c r="AQ43" s="2133"/>
      <c r="AW43" s="1161">
        <v>14</v>
      </c>
    </row>
    <row customHeight="1" ht="35.699999999999996">
      <c r="R44" s="382"/>
      <c r="S44" s="382"/>
      <c r="T44" s="382"/>
      <c r="U44" s="2279"/>
      <c r="V44" s="2215"/>
      <c r="W44" s="1037"/>
      <c r="X44" s="2300" t="s">
        <v>468</v>
      </c>
      <c r="Y44" s="2318" t="s">
        <v>469</v>
      </c>
      <c r="Z44" s="2318"/>
      <c r="AA44" s="2318"/>
      <c r="AB44" s="2318"/>
      <c r="AC44" s="2300" t="s">
        <v>450</v>
      </c>
      <c r="AD44" s="2617"/>
      <c r="AE44" s="2320"/>
      <c r="AF44" s="2284"/>
      <c r="AG44" s="2300" t="s">
        <v>468</v>
      </c>
      <c r="AH44" s="2318" t="s">
        <v>469</v>
      </c>
      <c r="AI44" s="2318"/>
      <c r="AJ44" s="2318"/>
      <c r="AK44" s="2318"/>
      <c r="AL44" s="2300" t="s">
        <v>450</v>
      </c>
      <c r="AM44" s="2617"/>
      <c r="AN44" s="2320"/>
      <c r="AO44" s="2284"/>
      <c r="AP44" s="2287"/>
      <c r="AQ44" s="2133"/>
      <c r="AW44" s="1161">
        <v>34</v>
      </c>
    </row>
    <row customHeight="1" ht="14.699999999999998">
      <c r="R45" s="382"/>
      <c r="S45" s="382"/>
      <c r="T45" s="382"/>
      <c r="U45" s="2279"/>
      <c r="V45" s="2215"/>
      <c r="W45" s="1037"/>
      <c r="X45" s="2331"/>
      <c r="Y45" s="2323" t="s">
        <v>470</v>
      </c>
      <c r="Z45" s="2276" t="s">
        <v>471</v>
      </c>
      <c r="AA45" s="2326"/>
      <c r="AB45" s="2277"/>
      <c r="AC45" s="2301"/>
      <c r="AD45" s="2618"/>
      <c r="AE45" s="2322"/>
      <c r="AF45" s="2284"/>
      <c r="AG45" s="2331"/>
      <c r="AH45" s="2323" t="s">
        <v>470</v>
      </c>
      <c r="AI45" s="2276" t="s">
        <v>471</v>
      </c>
      <c r="AJ45" s="2326"/>
      <c r="AK45" s="2277"/>
      <c r="AL45" s="2301"/>
      <c r="AM45" s="2618"/>
      <c r="AN45" s="2322"/>
      <c r="AO45" s="2284"/>
      <c r="AP45" s="2287"/>
      <c r="AQ45" s="2133"/>
      <c r="AW45" s="1161">
        <v>14</v>
      </c>
    </row>
    <row customHeight="1" ht="27.299999999999997">
      <c r="R46" s="382"/>
      <c r="S46" s="382"/>
      <c r="T46" s="382"/>
      <c r="U46" s="2279"/>
      <c r="V46" s="2215"/>
      <c r="W46" s="1037"/>
      <c r="X46" s="2331"/>
      <c r="Y46" s="2324"/>
      <c r="Z46" s="2323" t="s">
        <v>472</v>
      </c>
      <c r="AA46" s="2276" t="s">
        <v>473</v>
      </c>
      <c r="AB46" s="2277"/>
      <c r="AC46" s="2323" t="s">
        <v>460</v>
      </c>
      <c r="AD46" s="2327" t="s">
        <v>461</v>
      </c>
      <c r="AE46" s="2328"/>
      <c r="AF46" s="2284"/>
      <c r="AG46" s="2331"/>
      <c r="AH46" s="2324"/>
      <c r="AI46" s="2323" t="s">
        <v>472</v>
      </c>
      <c r="AJ46" s="2276" t="s">
        <v>473</v>
      </c>
      <c r="AK46" s="2277"/>
      <c r="AL46" s="2323" t="s">
        <v>460</v>
      </c>
      <c r="AM46" s="2327" t="s">
        <v>461</v>
      </c>
      <c r="AN46" s="2328"/>
      <c r="AO46" s="2284"/>
      <c r="AP46" s="2287"/>
      <c r="AQ46" s="2133"/>
      <c r="AW46" s="1161">
        <v>26</v>
      </c>
    </row>
    <row customHeight="1" ht="65.25">
      <c r="A47" s="1265"/>
      <c r="B47" s="1265" t="s">
        <v>137</v>
      </c>
      <c r="C47" s="1265" t="s">
        <v>138</v>
      </c>
      <c r="D47" s="1265" t="s">
        <v>139</v>
      </c>
      <c r="E47" s="1316" t="s">
        <v>451</v>
      </c>
      <c r="F47" s="1316" t="s">
        <v>452</v>
      </c>
      <c r="G47" s="1316" t="s">
        <v>453</v>
      </c>
      <c r="H47" s="1316" t="s">
        <v>454</v>
      </c>
      <c r="I47" s="1316" t="s">
        <v>455</v>
      </c>
      <c r="J47" s="1316" t="s">
        <v>456</v>
      </c>
      <c r="K47" s="1316" t="s">
        <v>457</v>
      </c>
      <c r="L47" s="1316" t="s">
        <v>474</v>
      </c>
      <c r="M47" s="1316" t="s">
        <v>432</v>
      </c>
      <c r="R47" s="382"/>
      <c r="S47" s="382"/>
      <c r="T47" s="382"/>
      <c r="U47" s="2279"/>
      <c r="V47" s="2215"/>
      <c r="W47" s="308"/>
      <c r="X47" s="2301"/>
      <c r="Y47" s="2325"/>
      <c r="Z47" s="2325"/>
      <c r="AA47" s="1228" t="s">
        <v>475</v>
      </c>
      <c r="AB47" s="1228" t="s">
        <v>476</v>
      </c>
      <c r="AC47" s="2325"/>
      <c r="AD47" s="2329"/>
      <c r="AE47" s="2330"/>
      <c r="AF47" s="2285"/>
      <c r="AG47" s="2301"/>
      <c r="AH47" s="2325"/>
      <c r="AI47" s="2325"/>
      <c r="AJ47" s="1228" t="s">
        <v>475</v>
      </c>
      <c r="AK47" s="1228" t="s">
        <v>476</v>
      </c>
      <c r="AL47" s="2325"/>
      <c r="AM47" s="2329"/>
      <c r="AN47" s="2330"/>
      <c r="AO47" s="2285"/>
      <c r="AP47" s="2288"/>
      <c r="AQ47" s="2133"/>
      <c r="AW47" s="1161">
        <v>62</v>
      </c>
    </row>
    <row s="1647" customFormat="1" customHeight="1" ht="11.25" hidden="1">
      <c r="A48" s="1265"/>
      <c r="B48" s="1265"/>
      <c r="C48" s="1265"/>
      <c r="D48" s="1265"/>
      <c r="E48" s="1265"/>
      <c r="F48" s="1265"/>
      <c r="G48" s="1265"/>
      <c r="H48" s="1265"/>
      <c r="I48" s="1265"/>
      <c r="J48" s="1265"/>
      <c r="K48" s="1265"/>
      <c r="L48" s="1265"/>
      <c r="M48" s="1316"/>
      <c r="N48" s="1334"/>
      <c r="O48" s="1334"/>
      <c r="P48" s="1334"/>
      <c r="Q48" s="1252"/>
      <c r="R48" s="1253"/>
      <c r="S48" s="1260">
        <v>1</v>
      </c>
      <c r="T48" s="1260"/>
      <c r="U48" s="1283" t="s">
        <v>111</v>
      </c>
      <c r="V48" s="1261" t="s">
        <v>112</v>
      </c>
      <c r="W48" s="1251" t="str">
        <f>OFFSET(W48,0,-1)</f>
        <v>2</v>
      </c>
      <c r="X48" s="1341">
        <f>OFFSET(X48,0,-1)+1</f>
        <v>3</v>
      </c>
      <c r="Y48" s="1347"/>
      <c r="Z48" s="1347"/>
      <c r="AA48" s="1347">
        <f>OFFSET(AA48,0,-1)+1</f>
        <v>1</v>
      </c>
      <c r="AB48" s="1347">
        <f>OFFSET(AB48,0,-1)+1</f>
        <v>2</v>
      </c>
      <c r="AC48" s="1341">
        <f>OFFSET(AC48,0,-1)+1</f>
        <v>3</v>
      </c>
      <c r="AD48" s="2278">
        <f>OFFSET(AD48,0,-1)+1</f>
        <v>4</v>
      </c>
      <c r="AE48" s="2278"/>
      <c r="AF48" s="1341">
        <f>OFFSET(AF48,0,-2)+1</f>
        <v>5</v>
      </c>
      <c r="AG48" s="1341">
        <f>OFFSET(AG48,0,-1)+1</f>
        <v>6</v>
      </c>
      <c r="AH48" s="1341"/>
      <c r="AI48" s="1341"/>
      <c r="AJ48" s="1341">
        <f>OFFSET(AJ48,0,-1)+1</f>
        <v>1</v>
      </c>
      <c r="AK48" s="1341">
        <f>OFFSET(AK48,0,-1)+1</f>
        <v>2</v>
      </c>
      <c r="AL48" s="1341">
        <f>OFFSET(AL48,0,-1)+1</f>
        <v>3</v>
      </c>
      <c r="AM48" s="2278">
        <f>OFFSET(AM48,0,-1)+1</f>
        <v>4</v>
      </c>
      <c r="AN48" s="2278"/>
      <c r="AO48" s="1341">
        <f>OFFSET(AO48,0,-2)+1</f>
        <v>5</v>
      </c>
      <c r="AP48" s="1251">
        <f>OFFSET(AP48,0,-1)</f>
        <v>5</v>
      </c>
      <c r="AQ48" s="1341">
        <f>OFFSET(AQ48,0,-1)+1</f>
        <v>6</v>
      </c>
      <c r="AR48" s="517"/>
      <c r="AS48" s="517"/>
      <c r="AT48" s="517"/>
      <c r="AU48" s="517"/>
      <c r="AV48" s="517"/>
      <c r="AW48" s="502">
        <v>0</v>
      </c>
    </row>
    <row customHeight="1" ht="22.049999999999997">
      <c r="A49" s="1273" t="s">
        <v>176</v>
      </c>
      <c r="B49" s="1273"/>
      <c r="C49" s="1273"/>
      <c r="D49" s="1273"/>
      <c r="E49" s="2295">
        <v>1</v>
      </c>
      <c r="F49" s="1273"/>
      <c r="G49" s="1273"/>
      <c r="H49" s="1273"/>
      <c r="I49" s="1273"/>
      <c r="J49" s="1273"/>
      <c r="K49" s="1273"/>
      <c r="L49" s="1273"/>
      <c r="M49" s="1316"/>
      <c r="N49" s="694"/>
      <c r="O49" s="694"/>
      <c r="P49" s="694"/>
      <c r="Q49" s="367"/>
      <c r="R49" s="366"/>
      <c r="S49" s="366"/>
      <c r="T49" s="361"/>
      <c r="U49" s="1342">
        <f>INDEX(PT_DIFFERENTIATION_NUM_NTAR,MATCH(A49,PT_DIFFERENTIATION_NTAR_ID,0))</f>
        <v>0</v>
      </c>
      <c r="V49" s="304" t="s">
        <v>125</v>
      </c>
      <c r="W49" s="306"/>
      <c r="X49" s="2248"/>
      <c r="Y49" s="2249"/>
      <c r="Z49" s="2249"/>
      <c r="AA49" s="2249"/>
      <c r="AB49" s="2249"/>
      <c r="AC49" s="2249"/>
      <c r="AD49" s="2249"/>
      <c r="AE49" s="2249"/>
      <c r="AF49" s="2250"/>
      <c r="AG49" s="2248" t="str">
        <f>INDEX(PT_DIFFERENTIATION_NTAR,MATCH(A49,PT_DIFFERENTIATION_NTAR_ID,0))</f>
        <v/>
      </c>
      <c r="AH49" s="2249"/>
      <c r="AI49" s="2249"/>
      <c r="AJ49" s="2249"/>
      <c r="AK49" s="2249"/>
      <c r="AL49" s="2249"/>
      <c r="AM49" s="2249"/>
      <c r="AN49" s="2249"/>
      <c r="AO49" s="2249"/>
      <c r="AP49" s="2250"/>
      <c r="AQ49"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506"/>
      <c r="AT49" s="506" t="str">
        <f>IF(V49="","",V49)</f>
        <v>Наименование тарифа</v>
      </c>
      <c r="AU49" s="506"/>
      <c r="AV49" s="506"/>
      <c r="AW49" s="1161">
        <v>21</v>
      </c>
    </row>
    <row customHeight="1" ht="22.049999999999997">
      <c r="A50" s="1273" t="s">
        <v>176</v>
      </c>
      <c r="B50" s="1273" t="s">
        <v>177</v>
      </c>
      <c r="C50" s="1273"/>
      <c r="D50" s="1273"/>
      <c r="E50" s="2296"/>
      <c r="F50" s="2295">
        <v>1</v>
      </c>
      <c r="G50" s="1273"/>
      <c r="H50" s="1273"/>
      <c r="I50" s="1273"/>
      <c r="J50" s="1273"/>
      <c r="K50" s="1273"/>
      <c r="L50" s="1273"/>
      <c r="M50" s="1316"/>
      <c r="N50" s="694"/>
      <c r="O50" s="694"/>
      <c r="P50" s="694"/>
      <c r="Q50" s="1338"/>
      <c r="R50" s="358"/>
      <c r="S50" s="515"/>
      <c r="T50" s="359"/>
      <c r="U50" s="1342" t="str">
        <f>INDEX(PT_DIFFERENTIATION_NUM_TER,MATCH(B50,PT_DIFFERENTIATION_TER_ID,0))</f>
        <v>.</v>
      </c>
      <c r="V50" s="314" t="s">
        <v>413</v>
      </c>
      <c r="W50" s="306"/>
      <c r="X50" s="2248"/>
      <c r="Y50" s="2249"/>
      <c r="Z50" s="2249"/>
      <c r="AA50" s="2249"/>
      <c r="AB50" s="2249"/>
      <c r="AC50" s="2249"/>
      <c r="AD50" s="2249"/>
      <c r="AE50" s="2249"/>
      <c r="AF50" s="2250"/>
      <c r="AG50" s="2248" t="str">
        <f>INDEX(PT_DIFFERENTIATION_TER,MATCH(B50,PT_DIFFERENTIATION_TER_ID,0))</f>
        <v/>
      </c>
      <c r="AH50" s="2249"/>
      <c r="AI50" s="2249"/>
      <c r="AJ50" s="2249"/>
      <c r="AK50" s="2249"/>
      <c r="AL50" s="2249"/>
      <c r="AM50" s="2249"/>
      <c r="AN50" s="2249"/>
      <c r="AO50" s="2249"/>
      <c r="AP50" s="2250"/>
      <c r="AQ50" s="1264" t="s">
        <v>414</v>
      </c>
      <c r="AS50" s="506"/>
      <c r="AT50" s="506" t="str">
        <f>IF(V50="","",V50)</f>
        <v>Территория действия тарифа</v>
      </c>
      <c r="AU50" s="506"/>
      <c r="AV50" s="506"/>
      <c r="AW50" s="1161">
        <v>21</v>
      </c>
    </row>
    <row customHeight="1" ht="24">
      <c r="A51" s="1273" t="s">
        <v>176</v>
      </c>
      <c r="B51" s="1273" t="s">
        <v>177</v>
      </c>
      <c r="C51" s="1273" t="s">
        <v>178</v>
      </c>
      <c r="D51" s="1273"/>
      <c r="E51" s="2296"/>
      <c r="F51" s="2296"/>
      <c r="G51" s="2295">
        <v>1</v>
      </c>
      <c r="H51" s="1273"/>
      <c r="I51" s="1273"/>
      <c r="J51" s="1273"/>
      <c r="K51" s="1273"/>
      <c r="L51" s="1273"/>
      <c r="M51" s="1316"/>
      <c r="N51" s="694"/>
      <c r="O51" s="694"/>
      <c r="P51" s="694"/>
      <c r="Q51" s="360"/>
      <c r="R51" s="358"/>
      <c r="S51" s="515"/>
      <c r="T51" s="359"/>
      <c r="U51" s="1342" t="str">
        <f>INDEX(PT_DIFFERENTIATION_NUM_CS,MATCH(C51,PT_DIFFERENTIATION_CS_ID,0))</f>
        <v>..</v>
      </c>
      <c r="V51" s="315" t="s">
        <v>415</v>
      </c>
      <c r="W51" s="306"/>
      <c r="X51" s="2248"/>
      <c r="Y51" s="2249"/>
      <c r="Z51" s="2249"/>
      <c r="AA51" s="2249"/>
      <c r="AB51" s="2249"/>
      <c r="AC51" s="2249"/>
      <c r="AD51" s="2249"/>
      <c r="AE51" s="2249"/>
      <c r="AF51" s="2250"/>
      <c r="AG51" s="2248" t="str">
        <f>INDEX(PT_DIFFERENTIATION_CS,MATCH(C51,PT_DIFFERENTIATION_CS_ID,0))</f>
        <v/>
      </c>
      <c r="AH51" s="2249"/>
      <c r="AI51" s="2249"/>
      <c r="AJ51" s="2249"/>
      <c r="AK51" s="2249"/>
      <c r="AL51" s="2249"/>
      <c r="AM51" s="2249"/>
      <c r="AN51" s="2249"/>
      <c r="AO51" s="2249"/>
      <c r="AP51" s="2250"/>
      <c r="AQ51" s="1264" t="s">
        <v>416</v>
      </c>
      <c r="AS51" s="506"/>
      <c r="AT51" s="506" t="str">
        <f>IF(V51="","",V51)</f>
        <v>Наименование системы теплоснабжения </v>
      </c>
      <c r="AU51" s="506"/>
      <c r="AV51" s="506"/>
      <c r="AW51" s="1161">
        <v>23</v>
      </c>
    </row>
    <row customHeight="1" ht="22.049999999999997">
      <c r="A52" s="1273" t="s">
        <v>176</v>
      </c>
      <c r="B52" s="1273" t="s">
        <v>177</v>
      </c>
      <c r="C52" s="1273" t="s">
        <v>178</v>
      </c>
      <c r="D52" s="1273" t="s">
        <v>179</v>
      </c>
      <c r="E52" s="2296"/>
      <c r="F52" s="2296"/>
      <c r="G52" s="2296"/>
      <c r="H52" s="2316">
        <v>1</v>
      </c>
      <c r="I52" s="1273"/>
      <c r="J52" s="1273"/>
      <c r="K52" s="1273"/>
      <c r="L52" s="1273"/>
      <c r="M52" s="1316"/>
      <c r="N52" s="694"/>
      <c r="O52" s="694"/>
      <c r="P52" s="694"/>
      <c r="Q52" s="360"/>
      <c r="R52" s="358"/>
      <c r="S52" s="515"/>
      <c r="T52" s="359"/>
      <c r="U52" s="1342" t="str">
        <f>INDEX(PT_DIFFERENTIATION_NUM_IST_TE,MATCH(D52,PT_DIFFERENTIATION_IST_TE_ID,0))</f>
        <v>...</v>
      </c>
      <c r="V52" s="316" t="s">
        <v>417</v>
      </c>
      <c r="W52" s="306"/>
      <c r="X52" s="2248"/>
      <c r="Y52" s="2249"/>
      <c r="Z52" s="2249"/>
      <c r="AA52" s="2249"/>
      <c r="AB52" s="2249"/>
      <c r="AC52" s="2249"/>
      <c r="AD52" s="2249"/>
      <c r="AE52" s="2249"/>
      <c r="AF52" s="2250"/>
      <c r="AG52" s="2248" t="str">
        <f>INDEX(PT_DIFFERENTIATION_IST_TE,MATCH(D52,PT_DIFFERENTIATION_IST_TE_ID,0))</f>
        <v/>
      </c>
      <c r="AH52" s="2249"/>
      <c r="AI52" s="2249"/>
      <c r="AJ52" s="2249"/>
      <c r="AK52" s="2249"/>
      <c r="AL52" s="2249"/>
      <c r="AM52" s="2249"/>
      <c r="AN52" s="2249"/>
      <c r="AO52" s="2249"/>
      <c r="AP52" s="2250"/>
      <c r="AQ52" s="1264" t="s">
        <v>418</v>
      </c>
      <c r="AS52" s="506"/>
      <c r="AT52" s="506" t="str">
        <f>IF(V52="","",V52)</f>
        <v>Источник тепловой энергии  </v>
      </c>
      <c r="AU52" s="506"/>
      <c r="AV52" s="506"/>
      <c r="AW52" s="1161">
        <v>21</v>
      </c>
    </row>
    <row s="1648" customFormat="1" customHeight="1" ht="0">
      <c r="A53" s="1381" t="s">
        <v>176</v>
      </c>
      <c r="B53" s="1381" t="s">
        <v>177</v>
      </c>
      <c r="C53" s="1381" t="s">
        <v>178</v>
      </c>
      <c r="D53" s="1381" t="s">
        <v>179</v>
      </c>
      <c r="E53" s="2296"/>
      <c r="F53" s="2296"/>
      <c r="G53" s="2296"/>
      <c r="H53" s="2317"/>
      <c r="I53" s="2133" t="str">
        <f>U52&amp;".1"</f>
        <v>....1</v>
      </c>
      <c r="J53" s="1381"/>
      <c r="K53" s="1381"/>
      <c r="L53" s="1381"/>
      <c r="M53" s="1387" t="s">
        <v>419</v>
      </c>
      <c r="N53" s="1252"/>
      <c r="O53" s="1252"/>
      <c r="P53" s="1252"/>
      <c r="Q53" s="2263">
        <v>1</v>
      </c>
      <c r="R53" s="1337"/>
      <c r="S53" s="1337"/>
      <c r="T53" s="362"/>
      <c r="U53" s="1048"/>
      <c r="V53" s="1389"/>
      <c r="W53" s="1390"/>
      <c r="X53" s="2302"/>
      <c r="Y53" s="2303"/>
      <c r="Z53" s="2303"/>
      <c r="AA53" s="2303"/>
      <c r="AB53" s="2303"/>
      <c r="AC53" s="2303"/>
      <c r="AD53" s="2303"/>
      <c r="AE53" s="2303"/>
      <c r="AF53" s="2304"/>
      <c r="AG53" s="2302"/>
      <c r="AH53" s="2303"/>
      <c r="AI53" s="2303"/>
      <c r="AJ53" s="2303"/>
      <c r="AK53" s="2303"/>
      <c r="AL53" s="2303"/>
      <c r="AM53" s="2303"/>
      <c r="AN53" s="2303"/>
      <c r="AO53" s="2303"/>
      <c r="AP53" s="2304"/>
      <c r="AQ53" s="1391"/>
      <c r="AS53" s="506"/>
      <c r="AT53" s="506" t="str">
        <f>IF(V53="","",V53)</f>
        <v/>
      </c>
      <c r="AU53" s="506"/>
      <c r="AV53" s="506"/>
      <c r="AW53" s="517">
        <v>0</v>
      </c>
    </row>
    <row customHeight="1" ht="22.049999999999997">
      <c r="A54" s="1273" t="s">
        <v>176</v>
      </c>
      <c r="B54" s="1273" t="s">
        <v>177</v>
      </c>
      <c r="C54" s="1273" t="s">
        <v>178</v>
      </c>
      <c r="D54" s="1273" t="s">
        <v>179</v>
      </c>
      <c r="E54" s="2296"/>
      <c r="F54" s="2296"/>
      <c r="G54" s="2296"/>
      <c r="H54" s="2317"/>
      <c r="I54" s="2107"/>
      <c r="J54" s="2133" t="str">
        <f>I53&amp;".1"</f>
        <v>....1.1</v>
      </c>
      <c r="K54" s="1273"/>
      <c r="L54" s="1273"/>
      <c r="M54" s="1316" t="s">
        <v>422</v>
      </c>
      <c r="Q54" s="2263"/>
      <c r="R54" s="2263">
        <v>1</v>
      </c>
      <c r="S54" s="524"/>
      <c r="T54" s="363"/>
      <c r="U54" s="1342" t="str">
        <f>$J54</f>
        <v>....1.1</v>
      </c>
      <c r="V54" s="292" t="s">
        <v>423</v>
      </c>
      <c r="W54" s="306"/>
      <c r="X54" s="2251"/>
      <c r="Y54" s="2252"/>
      <c r="Z54" s="2252"/>
      <c r="AA54" s="2252"/>
      <c r="AB54" s="2252"/>
      <c r="AC54" s="2241"/>
      <c r="AD54" s="2241"/>
      <c r="AE54" s="2241"/>
      <c r="AF54" s="2314"/>
      <c r="AG54" s="2251"/>
      <c r="AH54" s="2252"/>
      <c r="AI54" s="2252"/>
      <c r="AJ54" s="2252"/>
      <c r="AK54" s="2252"/>
      <c r="AL54" s="2252"/>
      <c r="AM54" s="2252"/>
      <c r="AN54" s="2252"/>
      <c r="AO54" s="2252"/>
      <c r="AP54" s="2253"/>
      <c r="AQ54" s="1264" t="s">
        <v>424</v>
      </c>
      <c r="AS54" s="506"/>
      <c r="AT54" s="506" t="str">
        <f>IF(V54="","",V54)</f>
        <v>Группа потребителей</v>
      </c>
      <c r="AU54" s="506"/>
      <c r="AV54" s="506"/>
      <c r="AW54" s="1161">
        <v>21</v>
      </c>
    </row>
    <row customHeight="1" ht="22.049999999999997">
      <c r="A55" s="1273" t="s">
        <v>176</v>
      </c>
      <c r="B55" s="1273" t="s">
        <v>177</v>
      </c>
      <c r="C55" s="1273" t="s">
        <v>178</v>
      </c>
      <c r="D55" s="1273" t="s">
        <v>179</v>
      </c>
      <c r="E55" s="2296"/>
      <c r="F55" s="2296"/>
      <c r="G55" s="2296"/>
      <c r="H55" s="2317"/>
      <c r="I55" s="2107"/>
      <c r="J55" s="2107"/>
      <c r="K55" s="2133" t="str">
        <f>J54&amp;".1"</f>
        <v>....1.1.1</v>
      </c>
      <c r="L55" s="145"/>
      <c r="M55" s="1316" t="s">
        <v>425</v>
      </c>
      <c r="Q55" s="2263"/>
      <c r="R55" s="2263"/>
      <c r="S55" s="524">
        <v>1</v>
      </c>
      <c r="T55" s="363"/>
      <c r="U55" s="1342" t="str">
        <f>$K55</f>
        <v>....1.1.1</v>
      </c>
      <c r="V55" s="1353"/>
      <c r="W55" s="306"/>
      <c r="X55" s="757"/>
      <c r="Y55" s="757"/>
      <c r="Z55" s="757"/>
      <c r="AA55" s="757"/>
      <c r="AB55" s="1411"/>
      <c r="AC55" s="2271"/>
      <c r="AD55" s="2113" t="s">
        <v>62</v>
      </c>
      <c r="AE55" s="2271"/>
      <c r="AF55" s="2113" t="s">
        <v>62</v>
      </c>
      <c r="AG55" s="1413"/>
      <c r="AH55" s="757"/>
      <c r="AI55" s="757"/>
      <c r="AJ55" s="757"/>
      <c r="AK55" s="1263"/>
      <c r="AL55" s="2271"/>
      <c r="AM55" s="2113" t="s">
        <v>62</v>
      </c>
      <c r="AN55" s="2271"/>
      <c r="AO55" s="2113" t="s">
        <v>62</v>
      </c>
      <c r="AP55" s="1354"/>
      <c r="AQ55" s="1313" t="s">
        <v>465</v>
      </c>
      <c r="AR55" s="517">
        <f>STRCHECKDATE(X57:AP57)</f>
      </c>
      <c r="AS55" s="506"/>
      <c r="AT55" s="506" t="str">
        <f>IF(V55="","",V55)</f>
        <v/>
      </c>
      <c r="AU55" s="506"/>
      <c r="AV55" s="506"/>
      <c r="AW55" s="1161">
        <v>21</v>
      </c>
    </row>
    <row customHeight="1" ht="11.549999999999999">
      <c r="A56" s="1273" t="s">
        <v>176</v>
      </c>
      <c r="B56" s="1273" t="s">
        <v>177</v>
      </c>
      <c r="C56" s="1273" t="s">
        <v>178</v>
      </c>
      <c r="D56" s="1273" t="s">
        <v>179</v>
      </c>
      <c r="E56" s="2296"/>
      <c r="F56" s="2296"/>
      <c r="G56" s="2296"/>
      <c r="H56" s="2317"/>
      <c r="I56" s="2107"/>
      <c r="J56" s="2107"/>
      <c r="K56" s="2107"/>
      <c r="L56" s="2133" t="str">
        <f>K55&amp;".1"</f>
        <v>....1.1.1.1</v>
      </c>
      <c r="M56" s="1316"/>
      <c r="Q56" s="2263"/>
      <c r="R56" s="2263"/>
      <c r="S56" s="524">
        <v>1</v>
      </c>
      <c r="T56" s="363"/>
      <c r="U56" s="1342" t="str">
        <f>$L56</f>
        <v>....1.1.1.1</v>
      </c>
      <c r="V56" s="1397"/>
      <c r="W56" s="306"/>
      <c r="X56" s="331"/>
      <c r="Y56" s="757"/>
      <c r="Z56" s="757"/>
      <c r="AA56" s="757"/>
      <c r="AB56" s="1411"/>
      <c r="AC56" s="2315"/>
      <c r="AD56" s="2113"/>
      <c r="AE56" s="2315"/>
      <c r="AF56" s="2113"/>
      <c r="AG56" s="1413"/>
      <c r="AH56" s="757"/>
      <c r="AI56" s="757"/>
      <c r="AJ56" s="757"/>
      <c r="AK56" s="1263"/>
      <c r="AL56" s="2315"/>
      <c r="AM56" s="2113"/>
      <c r="AN56" s="2315"/>
      <c r="AO56" s="2113"/>
      <c r="AP56" s="1354"/>
      <c r="AQ56" s="2259" t="s">
        <v>466</v>
      </c>
      <c r="AR56" s="517">
        <f>STRCHECKDATE(X58:AP58)</f>
      </c>
      <c r="AS56" s="506"/>
      <c r="AT56" s="506" t="str">
        <f>IF(V56="","",V56)</f>
        <v/>
      </c>
      <c r="AU56" s="506"/>
      <c r="AV56" s="506"/>
      <c r="AW56" s="1161">
        <v>11</v>
      </c>
    </row>
    <row customHeight="1" ht="0">
      <c r="A57" s="1273" t="s">
        <v>176</v>
      </c>
      <c r="B57" s="1273" t="s">
        <v>177</v>
      </c>
      <c r="C57" s="1273" t="s">
        <v>178</v>
      </c>
      <c r="D57" s="1273" t="s">
        <v>179</v>
      </c>
      <c r="E57" s="2296"/>
      <c r="F57" s="2296"/>
      <c r="G57" s="2296"/>
      <c r="H57" s="2317"/>
      <c r="I57" s="2107"/>
      <c r="J57" s="2107"/>
      <c r="K57" s="2107"/>
      <c r="L57" s="2133"/>
      <c r="M57" s="1316"/>
      <c r="Q57" s="2263"/>
      <c r="R57" s="2263"/>
      <c r="S57" s="524"/>
      <c r="T57" s="363"/>
      <c r="U57" s="1348"/>
      <c r="V57" s="306"/>
      <c r="W57" s="306"/>
      <c r="X57" s="331"/>
      <c r="Y57" s="331"/>
      <c r="Z57" s="331"/>
      <c r="AA57" s="331"/>
      <c r="AB57" s="1412" t="str">
        <f>AC55&amp;"-"&amp;AE55</f>
        <v>-</v>
      </c>
      <c r="AC57" s="2315"/>
      <c r="AD57" s="2113"/>
      <c r="AE57" s="2315"/>
      <c r="AF57" s="2113"/>
      <c r="AG57" s="1388"/>
      <c r="AH57" s="331"/>
      <c r="AI57" s="331"/>
      <c r="AJ57" s="331"/>
      <c r="AK57" s="334" t="str">
        <f>AL55&amp;"-"&amp;AN55</f>
        <v>-</v>
      </c>
      <c r="AL57" s="2315"/>
      <c r="AM57" s="2113"/>
      <c r="AN57" s="2315"/>
      <c r="AO57" s="2113"/>
      <c r="AP57" s="1355"/>
      <c r="AQ57" s="2260"/>
      <c r="AS57" s="506"/>
      <c r="AT57" s="506" t="str">
        <f>IF(V57="","",V57)</f>
        <v/>
      </c>
      <c r="AU57" s="506"/>
      <c r="AV57" s="506"/>
      <c r="AW57" s="1161">
        <v>0</v>
      </c>
    </row>
    <row customHeight="1" ht="11.549999999999999">
      <c r="A58" s="1273" t="s">
        <v>176</v>
      </c>
      <c r="B58" s="1273" t="s">
        <v>177</v>
      </c>
      <c r="C58" s="1273" t="s">
        <v>178</v>
      </c>
      <c r="D58" s="1273" t="s">
        <v>179</v>
      </c>
      <c r="E58" s="2296"/>
      <c r="F58" s="2296"/>
      <c r="G58" s="2296"/>
      <c r="H58" s="2317"/>
      <c r="I58" s="2107"/>
      <c r="J58" s="2107"/>
      <c r="K58" s="2133"/>
      <c r="L58" s="1273"/>
      <c r="M58" s="1316"/>
      <c r="Q58" s="2263"/>
      <c r="R58" s="2263"/>
      <c r="S58" s="1337"/>
      <c r="T58" s="362"/>
      <c r="U58" s="1284"/>
      <c r="V58" s="294" t="s">
        <v>467</v>
      </c>
      <c r="W58" s="373"/>
      <c r="X58" s="373"/>
      <c r="Y58" s="373"/>
      <c r="Z58" s="373"/>
      <c r="AA58" s="373"/>
      <c r="AB58" s="373"/>
      <c r="AC58" s="2315"/>
      <c r="AD58" s="2113"/>
      <c r="AE58" s="2315"/>
      <c r="AF58" s="2113"/>
      <c r="AG58" s="373"/>
      <c r="AH58" s="373"/>
      <c r="AI58" s="373"/>
      <c r="AJ58" s="373"/>
      <c r="AK58" s="373"/>
      <c r="AL58" s="2315"/>
      <c r="AM58" s="2113"/>
      <c r="AN58" s="2315"/>
      <c r="AO58" s="2113"/>
      <c r="AP58" s="330"/>
      <c r="AQ58" s="2260"/>
      <c r="AS58" s="506"/>
      <c r="AT58" s="506" t="str">
        <f>IF(V58="","",V58)</f>
        <v>Добавить наименование поставщика</v>
      </c>
      <c r="AU58" s="506"/>
      <c r="AV58" s="506"/>
      <c r="AW58" s="1161">
        <v>11</v>
      </c>
    </row>
    <row customHeight="1" ht="11.549999999999999">
      <c r="A59" s="1273" t="s">
        <v>176</v>
      </c>
      <c r="B59" s="1273" t="s">
        <v>177</v>
      </c>
      <c r="C59" s="1273" t="s">
        <v>178</v>
      </c>
      <c r="D59" s="1273" t="s">
        <v>179</v>
      </c>
      <c r="E59" s="2296"/>
      <c r="F59" s="2296"/>
      <c r="G59" s="2296"/>
      <c r="H59" s="2317"/>
      <c r="I59" s="2107"/>
      <c r="J59" s="2133"/>
      <c r="K59" s="1273"/>
      <c r="L59" s="1273"/>
      <c r="M59" s="1316"/>
      <c r="Q59" s="2263"/>
      <c r="R59" s="2263"/>
      <c r="S59" s="1337"/>
      <c r="T59" s="362"/>
      <c r="U59" s="1284"/>
      <c r="V59" s="293" t="s">
        <v>427</v>
      </c>
      <c r="W59" s="373"/>
      <c r="X59" s="373"/>
      <c r="Y59" s="373"/>
      <c r="Z59" s="373"/>
      <c r="AA59" s="373"/>
      <c r="AB59" s="373"/>
      <c r="AC59" s="1414"/>
      <c r="AD59" s="1414"/>
      <c r="AE59" s="1414"/>
      <c r="AF59" s="1414"/>
      <c r="AG59" s="373"/>
      <c r="AH59" s="373"/>
      <c r="AI59" s="373"/>
      <c r="AJ59" s="373"/>
      <c r="AK59" s="373"/>
      <c r="AL59" s="373"/>
      <c r="AM59" s="373"/>
      <c r="AN59" s="373"/>
      <c r="AO59" s="373"/>
      <c r="AP59" s="330"/>
      <c r="AQ59" s="2261"/>
      <c r="AS59" s="506"/>
      <c r="AT59" s="506" t="str">
        <f>IF(V59="","",V59)</f>
        <v>Добавить вид теплоносителя (параметры теплоносителя)</v>
      </c>
      <c r="AU59" s="506"/>
      <c r="AV59" s="506"/>
      <c r="AW59" s="1161">
        <v>11</v>
      </c>
    </row>
    <row customHeight="1" ht="11.549999999999999">
      <c r="A60" s="1273" t="s">
        <v>176</v>
      </c>
      <c r="B60" s="1273" t="s">
        <v>177</v>
      </c>
      <c r="C60" s="1273" t="s">
        <v>178</v>
      </c>
      <c r="D60" s="1273" t="s">
        <v>179</v>
      </c>
      <c r="E60" s="2296"/>
      <c r="F60" s="2296"/>
      <c r="G60" s="2296"/>
      <c r="H60" s="2317"/>
      <c r="I60" s="2133"/>
      <c r="J60" s="1273"/>
      <c r="K60" s="1273"/>
      <c r="L60" s="1273"/>
      <c r="M60" s="1316"/>
      <c r="Q60" s="2263"/>
      <c r="R60" s="1337"/>
      <c r="S60" s="1337"/>
      <c r="T60" s="362"/>
      <c r="U60" s="1284"/>
      <c r="V60" s="371" t="s">
        <v>428</v>
      </c>
      <c r="W60" s="373"/>
      <c r="X60" s="373"/>
      <c r="Y60" s="373"/>
      <c r="Z60" s="373"/>
      <c r="AA60" s="373"/>
      <c r="AB60" s="373"/>
      <c r="AC60" s="373"/>
      <c r="AD60" s="373"/>
      <c r="AE60" s="373"/>
      <c r="AF60" s="372"/>
      <c r="AG60" s="373"/>
      <c r="AH60" s="373"/>
      <c r="AI60" s="373"/>
      <c r="AJ60" s="373"/>
      <c r="AK60" s="373"/>
      <c r="AL60" s="373"/>
      <c r="AM60" s="373"/>
      <c r="AN60" s="373"/>
      <c r="AO60" s="372"/>
      <c r="AP60" s="373"/>
      <c r="AQ60" s="309"/>
      <c r="AS60" s="506"/>
      <c r="AT60" s="506" t="str">
        <f>IF(V60="","",V60)</f>
        <v>Добавить группу потребителей</v>
      </c>
      <c r="AU60" s="506"/>
      <c r="AV60" s="506"/>
      <c r="AW60" s="1161">
        <v>11</v>
      </c>
    </row>
    <row customHeight="1" ht="0">
      <c r="A61" s="1273" t="s">
        <v>176</v>
      </c>
      <c r="B61" s="1273" t="s">
        <v>177</v>
      </c>
      <c r="C61" s="1273" t="s">
        <v>178</v>
      </c>
      <c r="D61" s="1273" t="s">
        <v>179</v>
      </c>
      <c r="E61" s="2296"/>
      <c r="F61" s="2296"/>
      <c r="G61" s="2296"/>
      <c r="H61" s="2316"/>
      <c r="I61" s="1273"/>
      <c r="J61" s="1273"/>
      <c r="K61" s="1273"/>
      <c r="L61" s="1273"/>
      <c r="M61" s="1316"/>
      <c r="N61" s="694"/>
      <c r="O61" s="694"/>
      <c r="P61" s="515"/>
      <c r="Q61" s="366"/>
      <c r="R61" s="381"/>
      <c r="S61" s="361"/>
      <c r="T61" s="366"/>
      <c r="U61" s="1392"/>
      <c r="V61" s="1393"/>
      <c r="W61" s="1394"/>
      <c r="X61" s="1394"/>
      <c r="Y61" s="1394"/>
      <c r="Z61" s="1394"/>
      <c r="AA61" s="1394"/>
      <c r="AB61" s="1394"/>
      <c r="AC61" s="1394"/>
      <c r="AD61" s="1394"/>
      <c r="AE61" s="1394"/>
      <c r="AF61" s="1394"/>
      <c r="AG61" s="1394"/>
      <c r="AH61" s="1394"/>
      <c r="AI61" s="1394"/>
      <c r="AJ61" s="1394"/>
      <c r="AK61" s="1394"/>
      <c r="AL61" s="1394"/>
      <c r="AM61" s="1394"/>
      <c r="AN61" s="1394"/>
      <c r="AO61" s="1394"/>
      <c r="AP61" s="1394"/>
      <c r="AQ61" s="1395"/>
      <c r="AS61" s="506"/>
      <c r="AT61" s="506" t="str">
        <f>IF(V61="","",V61)</f>
        <v/>
      </c>
      <c r="AU61" s="506"/>
      <c r="AV61" s="506"/>
      <c r="AW61" s="1161">
        <v>0</v>
      </c>
    </row>
    <row s="1648" customFormat="1" customHeight="1" ht="0">
      <c r="A62" s="1381" t="s">
        <v>176</v>
      </c>
      <c r="B62" s="1381" t="s">
        <v>177</v>
      </c>
      <c r="C62" s="1381" t="s">
        <v>178</v>
      </c>
      <c r="D62" s="1380"/>
      <c r="E62" s="2296"/>
      <c r="F62" s="2296"/>
      <c r="G62" s="2295"/>
      <c r="H62" s="1380"/>
      <c r="I62" s="1380"/>
      <c r="J62" s="1380"/>
      <c r="K62" s="1380"/>
      <c r="L62" s="1380"/>
      <c r="M62" s="1383"/>
      <c r="N62" s="1384"/>
      <c r="O62" s="1384"/>
      <c r="P62" s="357"/>
      <c r="Q62" s="1322"/>
      <c r="R62" s="1323"/>
      <c r="S62" s="1322"/>
      <c r="T62" s="1322"/>
      <c r="U62" s="1328"/>
      <c r="V62" s="1331" t="s">
        <v>430</v>
      </c>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S62" s="795"/>
      <c r="AT62" s="795" t="str">
        <f>IF(V62="","",V62)</f>
        <v>Добавить источник для дифференциации</v>
      </c>
      <c r="AU62" s="795"/>
      <c r="AV62" s="795"/>
      <c r="AW62" s="524">
        <v>0</v>
      </c>
    </row>
    <row s="1648" customFormat="1" customHeight="1" ht="0">
      <c r="A63" s="1381" t="s">
        <v>176</v>
      </c>
      <c r="B63" s="1381" t="s">
        <v>177</v>
      </c>
      <c r="C63" s="1380"/>
      <c r="D63" s="1380"/>
      <c r="E63" s="2296"/>
      <c r="F63" s="2295"/>
      <c r="G63" s="1380"/>
      <c r="H63" s="1380"/>
      <c r="I63" s="1380"/>
      <c r="J63" s="1380"/>
      <c r="K63" s="1380"/>
      <c r="L63" s="1380"/>
      <c r="M63" s="1383"/>
      <c r="N63" s="1385"/>
      <c r="O63" s="1385"/>
      <c r="P63" s="357"/>
      <c r="Q63" s="1322"/>
      <c r="R63" s="1323"/>
      <c r="S63" s="1322"/>
      <c r="T63" s="1322"/>
      <c r="U63" s="1328"/>
      <c r="V63" s="1331" t="s">
        <v>251</v>
      </c>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S63" s="795"/>
      <c r="AT63" s="795" t="str">
        <f>IF(V63="","",V63)</f>
        <v>Добавить централизованную систему для дифференциации</v>
      </c>
      <c r="AU63" s="795"/>
      <c r="AV63" s="795"/>
      <c r="AW63" s="524">
        <v>0</v>
      </c>
    </row>
    <row s="1648" customFormat="1" customHeight="1" ht="0">
      <c r="A64" s="1381" t="s">
        <v>176</v>
      </c>
      <c r="B64" s="1381"/>
      <c r="C64" s="1381"/>
      <c r="D64" s="1381"/>
      <c r="E64" s="2295"/>
      <c r="F64" s="1381"/>
      <c r="G64" s="1381"/>
      <c r="H64" s="1381"/>
      <c r="I64" s="1381"/>
      <c r="J64" s="1381"/>
      <c r="K64" s="1381"/>
      <c r="L64" s="1381"/>
      <c r="M64" s="1387"/>
      <c r="N64" s="1385"/>
      <c r="O64" s="1385"/>
      <c r="P64" s="357"/>
      <c r="Q64" s="386"/>
      <c r="R64" s="1350"/>
      <c r="S64" s="386"/>
      <c r="T64" s="386"/>
      <c r="U64" s="1328"/>
      <c r="V64" s="1331" t="s">
        <v>252</v>
      </c>
      <c r="W64" s="1330"/>
      <c r="X64" s="1330"/>
      <c r="Y64" s="1330"/>
      <c r="Z64" s="1330"/>
      <c r="AA64" s="1330"/>
      <c r="AB64" s="1330"/>
      <c r="AC64" s="1330"/>
      <c r="AD64" s="1330"/>
      <c r="AE64" s="1330"/>
      <c r="AF64" s="1330"/>
      <c r="AG64" s="1330"/>
      <c r="AH64" s="1330"/>
      <c r="AI64" s="1330"/>
      <c r="AJ64" s="1330"/>
      <c r="AK64" s="1330"/>
      <c r="AL64" s="1330"/>
      <c r="AM64" s="1330"/>
      <c r="AN64" s="1330"/>
      <c r="AO64" s="1330"/>
      <c r="AP64" s="1330"/>
      <c r="AQ64" s="1330"/>
      <c r="AS64" s="506"/>
      <c r="AT64" s="506" t="str">
        <f>IF(V64="","",V64)</f>
        <v>Добавить территорию для дифференциации</v>
      </c>
      <c r="AU64" s="506"/>
      <c r="AV64" s="506"/>
      <c r="AW64" s="517">
        <v>0</v>
      </c>
    </row>
    <row s="1648" customFormat="1" customHeight="1" ht="4.2">
      <c r="A65" s="1380"/>
      <c r="B65" s="1380"/>
      <c r="C65" s="1380"/>
      <c r="D65" s="1380"/>
      <c r="E65" s="1381"/>
      <c r="F65" s="1380"/>
      <c r="G65" s="1380"/>
      <c r="H65" s="1380"/>
      <c r="I65" s="1380"/>
      <c r="J65" s="1380"/>
      <c r="K65" s="1380"/>
      <c r="L65" s="1380"/>
      <c r="M65" s="1383"/>
      <c r="N65" s="1385"/>
      <c r="O65" s="1385"/>
      <c r="P65" s="357"/>
      <c r="Q65" s="1322"/>
      <c r="R65" s="1323"/>
      <c r="S65" s="1322"/>
      <c r="T65" s="1322"/>
      <c r="U65" s="1328"/>
      <c r="V65" s="1331" t="s">
        <v>264</v>
      </c>
      <c r="W65" s="1330"/>
      <c r="X65" s="1330"/>
      <c r="Y65" s="1330"/>
      <c r="Z65" s="1330"/>
      <c r="AA65" s="1330"/>
      <c r="AB65" s="1330"/>
      <c r="AC65" s="1330"/>
      <c r="AD65" s="1330"/>
      <c r="AE65" s="1330"/>
      <c r="AF65" s="1330"/>
      <c r="AG65" s="1330"/>
      <c r="AH65" s="1330"/>
      <c r="AI65" s="1330"/>
      <c r="AJ65" s="1330"/>
      <c r="AK65" s="1330"/>
      <c r="AL65" s="1330"/>
      <c r="AM65" s="1330"/>
      <c r="AN65" s="1330"/>
      <c r="AO65" s="1330"/>
      <c r="AP65" s="1330"/>
      <c r="AQ65" s="1330"/>
      <c r="AS65" s="795"/>
      <c r="AT65" s="795" t="str">
        <f>IF(V65="","",V65)</f>
        <v>Добавить наименование тарифа</v>
      </c>
      <c r="AU65" s="795"/>
      <c r="AV65" s="795"/>
      <c r="AW65" s="524">
        <v>4</v>
      </c>
    </row>
    <row customHeight="1" ht="11.549999999999999">
      <c r="N66" s="1161"/>
      <c r="O66" s="1161"/>
      <c r="P66" s="515"/>
      <c r="Q66" s="1161"/>
      <c r="R66" s="1161"/>
      <c r="S66" s="1161"/>
      <c r="T66" s="1161"/>
      <c r="U66" s="1161"/>
      <c r="AR66" s="1161"/>
      <c r="AS66" s="1161"/>
      <c r="AT66" s="1161"/>
      <c r="AU66" s="1161"/>
      <c r="AV66" s="1161"/>
      <c r="AW66" s="1161">
        <v>11</v>
      </c>
    </row>
    <row customHeight="1" ht="35.699999999999996">
      <c r="P67" s="515"/>
      <c r="U67" s="1259"/>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W67" s="1161">
        <v>34</v>
      </c>
    </row>
    <row customHeight="1" ht="21">
      <c r="P68" s="515"/>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W68" s="1161">
        <v>20</v>
      </c>
    </row>
    <row customHeight="1" ht="14.699999999999998">
      <c r="P69" s="515"/>
      <c r="AW69" s="1161">
        <v>14</v>
      </c>
    </row>
    <row customHeight="1" ht="28.5">
      <c r="P70" s="515"/>
      <c r="V70" s="2291"/>
      <c r="W70" s="2291"/>
      <c r="X70" s="2291"/>
      <c r="Y70" s="2291"/>
      <c r="Z70" s="2291"/>
      <c r="AA70" s="2291"/>
      <c r="AB70" s="2291"/>
      <c r="AC70" s="2291"/>
      <c r="AD70" s="2291"/>
      <c r="AE70" s="2291"/>
      <c r="AF70" s="2291"/>
      <c r="AG70" s="2291"/>
      <c r="AH70" s="2291"/>
      <c r="AI70" s="2291"/>
      <c r="AJ70" s="2291"/>
      <c r="AK70" s="2291"/>
      <c r="AL70" s="2291"/>
      <c r="AM70" s="2291"/>
      <c r="AN70" s="2291"/>
      <c r="AO70" s="2291"/>
      <c r="AP70" s="2291"/>
      <c r="AQ70" s="2291"/>
      <c r="AW70" s="1161">
        <v>27</v>
      </c>
    </row>
    <row customHeight="1" ht="18.75">
      <c r="P71" s="515"/>
      <c r="V71" s="2291"/>
      <c r="W71" s="2291"/>
      <c r="X71" s="2291"/>
      <c r="Y71" s="2291"/>
      <c r="Z71" s="2291"/>
      <c r="AA71" s="2291"/>
      <c r="AB71" s="2291"/>
      <c r="AC71" s="2291"/>
      <c r="AD71" s="2291"/>
      <c r="AE71" s="2291"/>
      <c r="AF71" s="2291"/>
      <c r="AG71" s="2291"/>
      <c r="AH71" s="2291"/>
      <c r="AI71" s="2291"/>
      <c r="AJ71" s="2291"/>
      <c r="AK71" s="2291"/>
      <c r="AL71" s="2291"/>
      <c r="AM71" s="2291"/>
      <c r="AN71" s="2291"/>
      <c r="AO71" s="2291"/>
      <c r="AP71" s="2291"/>
      <c r="AQ71" s="2291"/>
      <c r="AW71" s="1161">
        <v>18</v>
      </c>
    </row>
    <row customHeight="1" ht="22.5" hidden="1">
      <c r="A72" s="1161" t="s">
        <v>83</v>
      </c>
      <c r="B72" s="1161">
        <v>0</v>
      </c>
      <c r="C72" s="1161">
        <v>0</v>
      </c>
      <c r="D72" s="1161">
        <v>0</v>
      </c>
      <c r="E72" s="1161">
        <v>0</v>
      </c>
      <c r="F72" s="1161">
        <v>0</v>
      </c>
      <c r="G72" s="1161">
        <v>0</v>
      </c>
      <c r="H72" s="1161">
        <v>0</v>
      </c>
      <c r="I72" s="1161">
        <v>0</v>
      </c>
      <c r="J72" s="1161">
        <v>0</v>
      </c>
      <c r="K72" s="1161">
        <v>0</v>
      </c>
      <c r="L72" s="1161">
        <v>0</v>
      </c>
      <c r="M72" s="1333">
        <v>0</v>
      </c>
      <c r="N72" s="1334">
        <v>0</v>
      </c>
      <c r="O72" s="1334">
        <v>0</v>
      </c>
      <c r="P72" s="1334">
        <v>0</v>
      </c>
      <c r="Q72" s="1334">
        <v>0</v>
      </c>
      <c r="R72" s="350">
        <v>3</v>
      </c>
      <c r="S72" s="350">
        <v>3</v>
      </c>
      <c r="T72" s="350">
        <v>3</v>
      </c>
      <c r="U72" s="587">
        <v>12</v>
      </c>
      <c r="V72" s="1161">
        <v>31</v>
      </c>
      <c r="W72" s="1161">
        <v>0</v>
      </c>
      <c r="X72" s="1161">
        <v>0</v>
      </c>
      <c r="Y72" s="1161">
        <v>0</v>
      </c>
      <c r="Z72" s="1161">
        <v>0</v>
      </c>
      <c r="AA72" s="1161">
        <v>0</v>
      </c>
      <c r="AB72" s="1161">
        <v>0</v>
      </c>
      <c r="AC72" s="1161">
        <v>0</v>
      </c>
      <c r="AD72" s="1161">
        <v>0</v>
      </c>
      <c r="AE72" s="1161">
        <v>0</v>
      </c>
      <c r="AF72" s="1161">
        <v>0</v>
      </c>
      <c r="AG72" s="1161">
        <v>21</v>
      </c>
      <c r="AH72" s="1161">
        <v>21</v>
      </c>
      <c r="AI72" s="1161">
        <v>21</v>
      </c>
      <c r="AJ72" s="1161">
        <v>21</v>
      </c>
      <c r="AK72" s="1161">
        <v>21</v>
      </c>
      <c r="AL72" s="1161">
        <v>11</v>
      </c>
      <c r="AM72" s="1161">
        <v>3</v>
      </c>
      <c r="AN72" s="1161">
        <v>11</v>
      </c>
      <c r="AO72" s="1161">
        <v>8</v>
      </c>
      <c r="AP72" s="1161">
        <v>4</v>
      </c>
      <c r="AQ72" s="1161">
        <v>115</v>
      </c>
      <c r="AR72" s="517">
        <v>10</v>
      </c>
      <c r="AS72" s="517">
        <v>10</v>
      </c>
      <c r="AT72" s="517">
        <v>10</v>
      </c>
      <c r="AU72" s="517">
        <v>10</v>
      </c>
      <c r="AV72" s="517">
        <v>10</v>
      </c>
      <c r="AW72" s="1161">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0E59041-CB45-F42F-ABCC-D0989FE868F5}" mc:Ignorable="x14ac xr xr2 xr3">
  <sheetPr>
    <tabColor rgb="FFCCCCFF"/>
  </sheetPr>
  <dimension ref="A1:Q79"/>
  <sheetViews>
    <sheetView topLeftCell="C1" showGridLines="0" zoomScale="90" workbookViewId="0">
      <selection activeCell="F24" sqref="F24"/>
    </sheetView>
  </sheetViews>
  <sheetFormatPr defaultColWidth="9.140625" customHeight="1" defaultRowHeight="11.25"/>
  <cols>
    <col min="1" max="1" style="793" width="10.7109375" hidden="1" customWidth="1"/>
    <col min="2" max="2" style="738" width="10.7109375" hidden="1" customWidth="1"/>
    <col min="3" max="3" style="536" width="3.00390625" customWidth="1"/>
    <col min="4" max="4" style="1641" width="1.00390625" customWidth="1"/>
    <col min="5" max="6" style="1641" width="55.00390625" customWidth="1"/>
    <col min="7" max="7" style="2131" width="1.00390625" customWidth="1"/>
    <col min="8" max="8" style="1641" width="18.00390625" hidden="1" customWidth="1"/>
    <col min="9" max="9" style="537" width="59.00390625" customWidth="1"/>
    <col min="10" max="10" style="1372" width="52.140625" hidden="1" customWidth="1"/>
    <col min="11" max="11" style="1641" width="8.00390625" customWidth="1"/>
    <col min="12" max="12" style="1641" width="77.00390625" customWidth="1"/>
    <col min="13" max="16" style="1641" width="8.00390625" customWidth="1"/>
    <col min="17" max="17" style="1641" width="12.00390625" hidden="1" customWidth="1"/>
  </cols>
  <sheetData>
    <row s="628" customFormat="1" customHeight="1" ht="3">
      <c r="A1" s="789"/>
      <c r="B1" s="247"/>
      <c r="F1" s="248" t="s">
        <v>13</v>
      </c>
      <c r="G1" s="417"/>
      <c r="H1" s="77"/>
      <c r="I1" s="417"/>
      <c r="J1" s="877"/>
      <c r="Q1" s="248" t="s">
        <v>14</v>
      </c>
    </row>
    <row s="1638" customFormat="1" customHeight="1" ht="14.25">
      <c r="A2" s="789"/>
      <c r="B2" s="104"/>
      <c r="E2" s="1746" t="str">
        <f>code</f>
        <v>Код отчёта: PP108.OPEN.INFO.PRICE.COLDVSNA.EIAS</v>
      </c>
      <c r="F2" s="275"/>
      <c r="G2" s="251"/>
      <c r="H2" s="251"/>
      <c r="I2" s="251"/>
      <c r="J2" s="878"/>
      <c r="K2" s="251"/>
      <c r="Q2" s="77">
        <v>14</v>
      </c>
    </row>
    <row customHeight="1" ht="14.699999999999998">
      <c r="E3" s="252" t="str">
        <f>version</f>
        <v>Версия отчёта: 1.1.1</v>
      </c>
      <c r="F3" s="275"/>
      <c r="G3" s="776"/>
      <c r="H3" s="776"/>
      <c r="I3" s="776"/>
      <c r="J3" s="879"/>
      <c r="K3" s="94"/>
      <c r="Q3" s="80">
        <v>14</v>
      </c>
    </row>
    <row s="1618" customFormat="1" customHeight="1" ht="6.3">
      <c r="A4" s="790"/>
      <c r="B4" s="238"/>
      <c r="C4" s="239"/>
      <c r="D4" s="240"/>
      <c r="E4" s="249"/>
      <c r="F4" s="250"/>
      <c r="G4" s="777"/>
      <c r="H4" s="415"/>
      <c r="I4" s="417"/>
      <c r="J4" s="880"/>
      <c r="Q4" s="242">
        <v>6</v>
      </c>
    </row>
    <row customHeight="1" ht="39.75">
      <c r="D5" s="81"/>
      <c r="E5" s="2101" t="str">
        <f>NameTemplatesInTitle</f>
        <v>Показатели, подлежащие раскрытию в сфере холодного водоснабжения (цены и тарифы)</v>
      </c>
      <c r="F5" s="2102"/>
      <c r="G5" s="778"/>
      <c r="J5" s="881"/>
      <c r="Q5" s="80">
        <v>38</v>
      </c>
    </row>
    <row s="1618" customFormat="1" customHeight="1" ht="6.3">
      <c r="A6" s="790"/>
      <c r="B6" s="238"/>
      <c r="C6" s="239"/>
      <c r="D6" s="240"/>
      <c r="E6" s="243"/>
      <c r="F6" s="244"/>
      <c r="G6" s="778"/>
      <c r="H6" s="415"/>
      <c r="I6" s="417"/>
      <c r="J6" s="880"/>
      <c r="Q6" s="242">
        <v>6</v>
      </c>
    </row>
    <row customHeight="1" ht="21">
      <c r="D7" s="81"/>
      <c r="E7" s="397" t="s">
        <v>15</v>
      </c>
      <c r="F7" s="221" t="s">
        <v>16</v>
      </c>
      <c r="G7" s="778"/>
      <c r="Q7" s="80">
        <v>20</v>
      </c>
    </row>
    <row s="1618" customFormat="1" customHeight="1" ht="6.3">
      <c r="A8" s="791"/>
      <c r="B8" s="238"/>
      <c r="C8" s="239"/>
      <c r="D8" s="245"/>
      <c r="E8" s="243"/>
      <c r="F8" s="246"/>
      <c r="G8" s="83"/>
      <c r="H8" s="415"/>
      <c r="I8" s="417"/>
      <c r="J8" s="883"/>
      <c r="Q8" s="242">
        <v>6</v>
      </c>
    </row>
    <row s="1641" customFormat="1" customHeight="1" ht="19.5" hidden="1">
      <c r="A9" s="790"/>
      <c r="B9" s="104"/>
      <c r="C9" s="414"/>
      <c r="D9" s="416"/>
      <c r="E9" s="1171" t="s">
        <v>17</v>
      </c>
      <c r="F9" s="1927"/>
      <c r="G9" s="778"/>
      <c r="I9" s="1906" t="str">
        <f>IF(TITLE_STRUCTURE_INFO_ROIV="","","раскрывается "&amp;INDEX(ROIV_INFO_COMMENT,MATCH(TITLE_STRUCTURE_INFO_ROIV,ROIV_INFO_LIST,0)))</f>
        <v/>
      </c>
      <c r="J9" s="882"/>
      <c r="Q9" s="415">
        <v>0</v>
      </c>
    </row>
    <row s="1618" customFormat="1" customHeight="1" ht="24" hidden="1">
      <c r="A10" s="791"/>
      <c r="B10" s="432"/>
      <c r="C10" s="433"/>
      <c r="D10" s="245"/>
      <c r="E10" s="1171" t="s">
        <v>18</v>
      </c>
      <c r="F10" s="2072" t="s">
        <v>19</v>
      </c>
      <c r="G10" s="83"/>
      <c r="H10" s="415"/>
      <c r="I10" s="417"/>
      <c r="J10" s="883"/>
      <c r="Q10" s="436">
        <v>24</v>
      </c>
    </row>
    <row customHeight="1" ht="22.5">
      <c r="A11" s="2104" t="s">
        <v>20</v>
      </c>
      <c r="D11" s="81"/>
      <c r="E11" s="1171" t="s">
        <v>21</v>
      </c>
      <c r="F11" s="1738">
        <v>46023.502280092594</v>
      </c>
      <c r="G11" s="83"/>
      <c r="H11" s="779" t="s">
        <v>22</v>
      </c>
      <c r="J11" s="882" t="s">
        <v>23</v>
      </c>
      <c r="Q11" s="80">
        <v>0</v>
      </c>
    </row>
    <row customHeight="1" ht="22.5">
      <c r="A12" s="2104"/>
      <c r="D12" s="81"/>
      <c r="E12" s="1171" t="s">
        <v>24</v>
      </c>
      <c r="F12" s="1738">
        <v>46387.50244212963</v>
      </c>
      <c r="G12" s="79"/>
      <c r="J12" s="882" t="s">
        <v>25</v>
      </c>
      <c r="Q12" s="80">
        <v>0</v>
      </c>
    </row>
    <row s="1641" customFormat="1" customHeight="1" ht="22.5" hidden="1">
      <c r="A13" s="794" t="s">
        <v>26</v>
      </c>
      <c r="B13" s="104"/>
      <c r="C13" s="414"/>
      <c r="D13" s="416"/>
      <c r="E13" s="1781" t="s">
        <v>27</v>
      </c>
      <c r="F13" s="1738" t="s">
        <v>28</v>
      </c>
      <c r="G13" s="83"/>
      <c r="H13" s="776"/>
      <c r="I13" s="417"/>
      <c r="J13" s="1782" t="s">
        <v>29</v>
      </c>
      <c r="Q13" s="415">
        <v>0</v>
      </c>
    </row>
    <row s="1641" customFormat="1" customHeight="1" ht="27" hidden="1">
      <c r="A14" s="794" t="s">
        <v>30</v>
      </c>
      <c r="B14" s="104"/>
      <c r="C14" s="414"/>
      <c r="D14" s="416"/>
      <c r="E14" s="1171" t="s">
        <v>31</v>
      </c>
      <c r="F14" s="1773"/>
      <c r="G14" s="83"/>
      <c r="H14" s="776"/>
      <c r="I14" s="417"/>
      <c r="J14" s="882" t="s">
        <v>32</v>
      </c>
      <c r="Q14" s="415">
        <v>0</v>
      </c>
    </row>
    <row s="1641" customFormat="1" customHeight="1" ht="19.5" hidden="1">
      <c r="A15" s="794" t="s">
        <v>33</v>
      </c>
      <c r="B15" s="104"/>
      <c r="C15" s="414"/>
      <c r="D15" s="416"/>
      <c r="E15" s="1171" t="s">
        <v>34</v>
      </c>
      <c r="F15" s="1773"/>
      <c r="G15" s="83"/>
      <c r="H15" s="776"/>
      <c r="I15" s="417"/>
      <c r="J15" s="882" t="s">
        <v>35</v>
      </c>
      <c r="Q15" s="415">
        <v>0</v>
      </c>
    </row>
    <row s="1618" customFormat="1" customHeight="1" ht="6.3">
      <c r="A16" s="791"/>
      <c r="B16" s="238"/>
      <c r="C16" s="239"/>
      <c r="D16" s="245"/>
      <c r="E16" s="243"/>
      <c r="F16" s="246"/>
      <c r="G16" s="83"/>
      <c r="H16" s="415"/>
      <c r="I16" s="417"/>
      <c r="J16" s="880"/>
      <c r="Q16" s="242">
        <v>6</v>
      </c>
    </row>
    <row customHeight="1" ht="21">
      <c r="D17" s="81"/>
      <c r="E17" s="397" t="s">
        <v>36</v>
      </c>
      <c r="F17" s="222" t="s">
        <v>37</v>
      </c>
      <c r="G17" s="79"/>
      <c r="H17" s="779" t="s">
        <v>22</v>
      </c>
      <c r="Q17" s="80">
        <v>20</v>
      </c>
    </row>
    <row customHeight="1" ht="25.5" hidden="1">
      <c r="D18" s="81"/>
      <c r="E18" s="1781" t="s">
        <v>38</v>
      </c>
      <c r="F18" s="1739"/>
      <c r="G18" s="79"/>
      <c r="I18" s="780"/>
      <c r="J18" s="2103" t="s">
        <v>39</v>
      </c>
      <c r="Q18" s="80">
        <v>0</v>
      </c>
    </row>
    <row customHeight="1" ht="25.5" hidden="1">
      <c r="D19" s="81"/>
      <c r="E19" s="117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739"/>
      <c r="G19" s="79"/>
      <c r="I19" s="780"/>
      <c r="J19" s="2103"/>
      <c r="Q19" s="80">
        <v>0</v>
      </c>
    </row>
    <row customHeight="1" ht="22.5">
      <c r="D20" s="81"/>
      <c r="E20" s="82"/>
      <c r="F20" s="276" t="str">
        <f>"Первичное "&amp;IF(TEMPLATE_GROUP="P","установление тарифов","предложение по тарифам")</f>
        <v>Первичное установление тарифов</v>
      </c>
      <c r="G20" s="79"/>
      <c r="I20" s="400"/>
      <c r="J20" s="881" t="s">
        <v>40</v>
      </c>
      <c r="Q20" s="80">
        <v>0</v>
      </c>
    </row>
    <row customHeight="1" ht="19.5">
      <c r="D21" s="81"/>
      <c r="E21" s="397" t="str">
        <f>"Дата "&amp;IF(TEMPLATE_GROUP="P","документа","подачи заявления")&amp;" об утверждении тарифов"</f>
        <v>Дата документа об утверждении тарифов</v>
      </c>
      <c r="F21" s="1738">
        <v>46003.502546296295</v>
      </c>
      <c r="G21" s="79"/>
      <c r="I21" s="781"/>
      <c r="Q21" s="80">
        <v>0</v>
      </c>
    </row>
    <row customHeight="1" ht="19.5">
      <c r="D22" s="81"/>
      <c r="E22" s="397" t="str">
        <f>"Номер "&amp;IF(TEMPLATE_GROUP="P","документа","подачи заявления")&amp;" об утверждении тарифов"</f>
        <v>Номер документа об утверждении тарифов</v>
      </c>
      <c r="F22" s="222" t="s">
        <v>41</v>
      </c>
      <c r="G22" s="79"/>
      <c r="I22" s="781"/>
      <c r="Q22" s="80">
        <v>0</v>
      </c>
    </row>
    <row customHeight="1" ht="22.5">
      <c r="D23" s="81"/>
      <c r="E23" s="397" t="s">
        <v>42</v>
      </c>
      <c r="F23" s="222" t="s">
        <v>43</v>
      </c>
      <c r="G23" s="79"/>
      <c r="Q23" s="80">
        <v>0</v>
      </c>
    </row>
    <row customHeight="1" ht="42.5">
      <c r="D24" s="81"/>
      <c r="E24" s="397" t="s">
        <v>44</v>
      </c>
      <c r="F24" s="222" t="s">
        <v>45</v>
      </c>
      <c r="G24" s="79"/>
      <c r="Q24" s="80">
        <v>0</v>
      </c>
    </row>
    <row customHeight="1" ht="22.5" hidden="1">
      <c r="D25" s="81"/>
      <c r="E25" s="82"/>
      <c r="F25" s="276" t="str">
        <f>"Изменение "&amp;IF(TEMPLATE_GROUP="P","тарифов","предложения по тарифам")</f>
        <v>Изменение тарифов</v>
      </c>
      <c r="G25" s="79"/>
      <c r="J25" s="881" t="s">
        <v>46</v>
      </c>
      <c r="Q25" s="80">
        <v>0</v>
      </c>
    </row>
    <row customHeight="1" ht="19.5" hidden="1">
      <c r="D26" s="81"/>
      <c r="E26" s="397" t="str">
        <f>"Дата "&amp;IF(TEMPLATE_GROUP="P","принятия решения","подачи заявления")&amp;" об изменении тарифов"</f>
        <v>Дата принятия решения об изменении тарифов</v>
      </c>
      <c r="F26" s="1739"/>
      <c r="G26" s="79"/>
      <c r="Q26" s="80">
        <v>0</v>
      </c>
    </row>
    <row customHeight="1" ht="19.5" hidden="1">
      <c r="D27" s="81"/>
      <c r="E27" s="1171" t="str">
        <f>"Номер "&amp;IF(TEMPLATE_GROUP="P","принятия решения","заявления")&amp;" об изменении тарифов"</f>
        <v>Номер принятия решения об изменении тарифов</v>
      </c>
      <c r="F27" s="224"/>
      <c r="G27" s="79"/>
      <c r="Q27" s="80">
        <v>0</v>
      </c>
    </row>
    <row customHeight="1" ht="24.75" hidden="1">
      <c r="D28" s="81"/>
      <c r="E28" s="397" t="s">
        <v>47</v>
      </c>
      <c r="F28" s="224"/>
      <c r="G28" s="79"/>
      <c r="Q28" s="80">
        <v>0</v>
      </c>
    </row>
    <row customHeight="1" ht="19.5" hidden="1">
      <c r="D29" s="81"/>
      <c r="E29" s="397" t="s">
        <v>44</v>
      </c>
      <c r="F29" s="224"/>
      <c r="G29" s="79"/>
      <c r="Q29" s="80">
        <v>0</v>
      </c>
    </row>
    <row s="1618" customFormat="1" customHeight="1" ht="16.666666666666668">
      <c r="A30" s="791"/>
      <c r="B30" s="238"/>
      <c r="C30" s="239"/>
      <c r="D30" s="245"/>
      <c r="E30" s="243"/>
      <c r="F30" s="246"/>
      <c r="G30" s="83"/>
      <c r="H30" s="415"/>
      <c r="I30" s="417"/>
      <c r="J30" s="880"/>
      <c r="Q30" s="242">
        <v>6</v>
      </c>
    </row>
    <row customHeight="1" ht="21">
      <c r="C31" s="84"/>
      <c r="D31" s="85"/>
      <c r="E31" s="397" t="str">
        <f>"Наименование "&amp;IF(TEMPLATE_GROUP="ROIV","органа тарифного регулирования","ЮЛ / ИП")</f>
        <v>Наименование ЮЛ / ИП</v>
      </c>
      <c r="F31" s="223" t="s">
        <v>48</v>
      </c>
      <c r="G31" s="782"/>
      <c r="Q31" s="80">
        <v>20</v>
      </c>
    </row>
    <row customHeight="1" ht="21" hidden="1">
      <c r="C32" s="84"/>
      <c r="D32" s="85"/>
      <c r="E32" s="398" t="s">
        <v>49</v>
      </c>
      <c r="F32" s="223"/>
      <c r="G32" s="782"/>
      <c r="Q32" s="80">
        <v>20</v>
      </c>
    </row>
    <row customHeight="1" ht="21">
      <c r="C33" s="84"/>
      <c r="D33" s="85"/>
      <c r="E33" s="397" t="s">
        <v>50</v>
      </c>
      <c r="F33" s="223" t="s">
        <v>51</v>
      </c>
      <c r="G33" s="782"/>
      <c r="Q33" s="80">
        <v>20</v>
      </c>
    </row>
    <row customHeight="1" ht="21">
      <c r="C34" s="84"/>
      <c r="D34" s="85"/>
      <c r="E34" s="397" t="s">
        <v>52</v>
      </c>
      <c r="F34" s="223" t="s">
        <v>53</v>
      </c>
      <c r="G34" s="782"/>
      <c r="H34" s="86"/>
      <c r="Q34" s="80">
        <v>20</v>
      </c>
    </row>
    <row s="1618" customFormat="1" customHeight="1" ht="11.549999999999999">
      <c r="A35" s="791"/>
      <c r="B35" s="238"/>
      <c r="C35" s="239"/>
      <c r="D35" s="245"/>
      <c r="E35" s="243"/>
      <c r="F35" s="246"/>
      <c r="G35" s="83"/>
      <c r="H35" s="415"/>
      <c r="I35" s="417"/>
      <c r="J35" s="880"/>
      <c r="Q35" s="242">
        <v>11</v>
      </c>
    </row>
    <row customHeight="1" ht="19.5" hidden="1">
      <c r="A36" s="885"/>
      <c r="D36" s="85"/>
      <c r="E36" s="397" t="s">
        <v>54</v>
      </c>
      <c r="F36" s="354"/>
      <c r="G36" s="83"/>
      <c r="Q36" s="80">
        <v>0</v>
      </c>
    </row>
    <row customHeight="1" ht="21">
      <c r="A37" s="885"/>
      <c r="D37" s="85"/>
      <c r="E37" s="397" t="s">
        <v>55</v>
      </c>
      <c r="F37" s="1216" t="s">
        <v>56</v>
      </c>
      <c r="G37" s="83"/>
      <c r="Q37" s="80">
        <v>20</v>
      </c>
    </row>
    <row s="1618" customFormat="1" customHeight="1" ht="6.3">
      <c r="A38" s="791"/>
      <c r="B38" s="238"/>
      <c r="C38" s="239"/>
      <c r="D38" s="240"/>
      <c r="E38" s="241"/>
      <c r="F38" s="1059"/>
      <c r="G38" s="79"/>
      <c r="H38" s="415"/>
      <c r="I38" s="417"/>
      <c r="J38" s="882"/>
      <c r="Q38" s="242">
        <v>6</v>
      </c>
    </row>
    <row customHeight="1" ht="36.75">
      <c r="A39" s="791"/>
      <c r="D39" s="81"/>
      <c r="E39" s="397" t="s">
        <v>57</v>
      </c>
      <c r="F39" s="716" t="s">
        <v>19</v>
      </c>
      <c r="G39" s="79"/>
      <c r="H39" s="779" t="s">
        <v>22</v>
      </c>
      <c r="Q39" s="80">
        <v>35</v>
      </c>
    </row>
    <row s="1618" customFormat="1" customHeight="1" ht="6" hidden="1">
      <c r="A40" s="790"/>
      <c r="B40" s="432"/>
      <c r="C40" s="433"/>
      <c r="D40" s="434"/>
      <c r="E40" s="435"/>
      <c r="F40" s="1059"/>
      <c r="G40" s="79"/>
      <c r="H40" s="415"/>
      <c r="I40" s="417"/>
      <c r="J40" s="882"/>
      <c r="Q40" s="436">
        <v>6</v>
      </c>
    </row>
    <row s="1641" customFormat="1" customHeight="1" ht="26.25" hidden="1">
      <c r="A41" s="794" t="s">
        <v>26</v>
      </c>
      <c r="B41" s="419"/>
      <c r="C41" s="414"/>
      <c r="D41" s="416"/>
      <c r="E41" s="39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6" t="s">
        <v>19</v>
      </c>
      <c r="G41" s="79"/>
      <c r="I41" s="417"/>
      <c r="J41" s="882"/>
      <c r="Q41" s="415">
        <v>0</v>
      </c>
    </row>
    <row s="1618" customFormat="1" customHeight="1" ht="6" hidden="1">
      <c r="A42" s="790"/>
      <c r="B42" s="432"/>
      <c r="C42" s="433"/>
      <c r="D42" s="434"/>
      <c r="E42" s="435"/>
      <c r="F42" s="1059"/>
      <c r="G42" s="79"/>
      <c r="H42" s="415"/>
      <c r="I42" s="417"/>
      <c r="J42" s="880"/>
      <c r="Q42" s="436">
        <v>0</v>
      </c>
    </row>
    <row s="1641" customFormat="1" customHeight="1" ht="27" hidden="1">
      <c r="A43" s="790"/>
      <c r="B43" s="419"/>
      <c r="C43" s="414"/>
      <c r="D43" s="416"/>
      <c r="E43" s="397" t="s">
        <v>58</v>
      </c>
      <c r="F43" s="716" t="s">
        <v>19</v>
      </c>
      <c r="G43" s="79"/>
      <c r="I43" s="417"/>
      <c r="J43" s="882"/>
      <c r="Q43" s="415">
        <v>0</v>
      </c>
    </row>
    <row s="1641" customFormat="1" customHeight="1" ht="27" hidden="1">
      <c r="A44" s="790"/>
      <c r="B44" s="419"/>
      <c r="C44" s="414"/>
      <c r="D44" s="416"/>
      <c r="E44" s="1171" t="s">
        <v>59</v>
      </c>
      <c r="F44" s="1894"/>
      <c r="G44" s="79"/>
      <c r="I44" s="417"/>
      <c r="J44" s="882"/>
      <c r="Q44" s="415">
        <v>0</v>
      </c>
    </row>
    <row s="1618" customFormat="1" customHeight="1" ht="6" hidden="1">
      <c r="A45" s="790"/>
      <c r="B45" s="432"/>
      <c r="C45" s="433"/>
      <c r="D45" s="434"/>
      <c r="E45" s="435"/>
      <c r="F45" s="1059"/>
      <c r="G45" s="79"/>
      <c r="H45" s="415"/>
      <c r="I45" s="417"/>
      <c r="J45" s="882"/>
      <c r="Q45" s="436">
        <v>0</v>
      </c>
    </row>
    <row s="1618" customFormat="1" customHeight="1" ht="24.75" hidden="1">
      <c r="A46" s="790"/>
      <c r="B46" s="432"/>
      <c r="C46" s="433"/>
      <c r="D46" s="434"/>
      <c r="E46" s="1171" t="s">
        <v>60</v>
      </c>
      <c r="F46" s="716" t="s">
        <v>19</v>
      </c>
      <c r="G46" s="79"/>
      <c r="H46" s="415"/>
      <c r="I46" s="417"/>
      <c r="J46" s="882"/>
      <c r="Q46" s="436">
        <v>0</v>
      </c>
    </row>
    <row s="1641" customFormat="1" customHeight="1" ht="24.75" hidden="1">
      <c r="A47" s="790"/>
      <c r="B47" s="419"/>
      <c r="C47" s="414"/>
      <c r="D47" s="416"/>
      <c r="E47" s="1171" t="s">
        <v>61</v>
      </c>
      <c r="F47" s="716" t="s">
        <v>19</v>
      </c>
      <c r="G47" s="79"/>
      <c r="I47" s="417"/>
      <c r="J47" s="882"/>
      <c r="Q47" s="415">
        <v>0</v>
      </c>
    </row>
    <row s="1618" customFormat="1" customHeight="1" ht="6">
      <c r="A48" s="790"/>
      <c r="B48" s="238"/>
      <c r="C48" s="239"/>
      <c r="D48" s="240"/>
      <c r="E48" s="241"/>
      <c r="F48" s="1059"/>
      <c r="G48" s="79"/>
      <c r="H48" s="415"/>
      <c r="I48" s="417"/>
      <c r="J48" s="882"/>
      <c r="Q48" s="242">
        <v>0</v>
      </c>
    </row>
    <row customHeight="1" ht="29.25">
      <c r="B49" s="154"/>
      <c r="D49" s="81"/>
      <c r="E49" s="3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6" t="s">
        <v>62</v>
      </c>
      <c r="G49" s="79"/>
      <c r="Q49" s="80">
        <v>0</v>
      </c>
    </row>
    <row s="1618" customFormat="1" customHeight="1" ht="6" hidden="1">
      <c r="A50" s="791"/>
      <c r="B50" s="432"/>
      <c r="C50" s="433"/>
      <c r="D50" s="245"/>
      <c r="E50" s="243"/>
      <c r="F50" s="246"/>
      <c r="G50" s="83"/>
      <c r="H50" s="415"/>
      <c r="I50" s="417"/>
      <c r="J50" s="882"/>
      <c r="Q50" s="436">
        <v>0</v>
      </c>
    </row>
    <row s="1641" customFormat="1" customHeight="1" ht="28.5" hidden="1">
      <c r="A51" s="792"/>
      <c r="B51" s="419"/>
      <c r="C51" s="536"/>
      <c r="D51" s="537"/>
      <c r="E51" s="397" t="s">
        <v>63</v>
      </c>
      <c r="F51" s="716" t="s">
        <v>19</v>
      </c>
      <c r="G51" s="538"/>
      <c r="I51" s="540"/>
      <c r="J51" s="884"/>
      <c r="P51" s="541"/>
      <c r="Q51" s="539">
        <v>0</v>
      </c>
    </row>
    <row s="1618" customFormat="1" customHeight="1" ht="6" hidden="1">
      <c r="A52" s="791"/>
      <c r="B52" s="432"/>
      <c r="C52" s="433"/>
      <c r="D52" s="245"/>
      <c r="E52" s="243"/>
      <c r="F52" s="246"/>
      <c r="G52" s="83"/>
      <c r="H52" s="415"/>
      <c r="I52" s="417"/>
      <c r="J52" s="880"/>
      <c r="Q52" s="436">
        <v>0</v>
      </c>
    </row>
    <row s="1641" customFormat="1" customHeight="1" ht="27" hidden="1">
      <c r="A53" s="792"/>
      <c r="B53" s="419"/>
      <c r="C53" s="536"/>
      <c r="D53" s="537"/>
      <c r="E53" s="397" t="s">
        <v>64</v>
      </c>
      <c r="F53" s="1054" t="s">
        <v>19</v>
      </c>
      <c r="G53" s="538"/>
      <c r="I53" s="540"/>
      <c r="J53" s="884"/>
      <c r="P53" s="541"/>
      <c r="Q53" s="539">
        <v>0</v>
      </c>
    </row>
    <row s="1641" customFormat="1" customHeight="1" ht="27" hidden="1">
      <c r="A54" s="792"/>
      <c r="B54" s="419"/>
      <c r="C54" s="536"/>
      <c r="D54" s="537"/>
      <c r="E54" s="397" t="s">
        <v>65</v>
      </c>
      <c r="F54" s="1780"/>
      <c r="G54" s="538"/>
      <c r="I54" s="540"/>
      <c r="J54" s="884"/>
      <c r="P54" s="541"/>
      <c r="Q54" s="539">
        <v>0</v>
      </c>
    </row>
    <row s="1618" customFormat="1" customHeight="1" ht="6" hidden="1">
      <c r="A55" s="791"/>
      <c r="B55" s="432"/>
      <c r="C55" s="433"/>
      <c r="D55" s="245"/>
      <c r="E55" s="243"/>
      <c r="F55" s="246"/>
      <c r="G55" s="83"/>
      <c r="H55" s="415"/>
      <c r="I55" s="417"/>
      <c r="J55" s="880"/>
      <c r="Q55" s="436">
        <v>0</v>
      </c>
    </row>
    <row s="1641" customFormat="1" customHeight="1" ht="25.5" hidden="1">
      <c r="A56" s="792"/>
      <c r="B56" s="419"/>
      <c r="C56" s="536"/>
      <c r="D56" s="537"/>
      <c r="E56" s="397" t="s">
        <v>66</v>
      </c>
      <c r="F56" s="1054" t="s">
        <v>19</v>
      </c>
      <c r="G56" s="538"/>
      <c r="I56" s="540"/>
      <c r="J56" s="884"/>
      <c r="P56" s="541"/>
      <c r="Q56" s="539">
        <v>0</v>
      </c>
    </row>
    <row s="1618" customFormat="1" customHeight="1" ht="6" hidden="1">
      <c r="A57" s="791"/>
      <c r="B57" s="432"/>
      <c r="C57" s="433"/>
      <c r="D57" s="245"/>
      <c r="E57" s="243"/>
      <c r="F57" s="246"/>
      <c r="G57" s="83"/>
      <c r="H57" s="415"/>
      <c r="I57" s="417"/>
      <c r="J57" s="880"/>
      <c r="Q57" s="436">
        <v>0</v>
      </c>
    </row>
    <row s="1641" customFormat="1" customHeight="1" ht="15" hidden="1">
      <c r="A58" s="792"/>
      <c r="B58" s="419"/>
      <c r="C58" s="536"/>
      <c r="D58" s="537"/>
      <c r="E58" s="397" t="s">
        <v>67</v>
      </c>
      <c r="F58" s="1054" t="s">
        <v>62</v>
      </c>
      <c r="G58" s="538"/>
      <c r="I58" s="540"/>
      <c r="J58" s="884"/>
      <c r="P58" s="541"/>
      <c r="Q58" s="539">
        <v>0</v>
      </c>
    </row>
    <row s="1641" customFormat="1" customHeight="1" ht="75" hidden="1">
      <c r="A59" s="792"/>
      <c r="B59" s="419"/>
      <c r="C59" s="536"/>
      <c r="D59" s="537"/>
      <c r="E59" s="3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5"/>
      <c r="G59" s="538"/>
      <c r="I59" s="540"/>
      <c r="J59" s="884"/>
      <c r="P59" s="541"/>
      <c r="Q59" s="539">
        <v>0</v>
      </c>
    </row>
    <row s="1641" customFormat="1" customHeight="1" ht="15" hidden="1">
      <c r="A60" s="792"/>
      <c r="B60" s="419"/>
      <c r="C60" s="536"/>
      <c r="D60" s="537"/>
      <c r="E60" s="1171" t="s">
        <v>68</v>
      </c>
      <c r="F60" s="1157"/>
      <c r="G60" s="538"/>
      <c r="I60" s="540"/>
      <c r="J60" s="884"/>
      <c r="P60" s="541"/>
      <c r="Q60" s="539">
        <v>0</v>
      </c>
    </row>
    <row s="1618" customFormat="1" customHeight="1" ht="6" hidden="1">
      <c r="A61" s="791"/>
      <c r="B61" s="432"/>
      <c r="C61" s="433"/>
      <c r="D61" s="434"/>
      <c r="E61" s="435"/>
      <c r="F61" s="1059"/>
      <c r="G61" s="79"/>
      <c r="H61" s="415"/>
      <c r="I61" s="417"/>
      <c r="J61" s="882"/>
      <c r="Q61" s="436">
        <v>0</v>
      </c>
    </row>
    <row s="1641" customFormat="1" customHeight="1" ht="33.75" hidden="1">
      <c r="A62" s="791"/>
      <c r="B62" s="104"/>
      <c r="C62" s="414"/>
      <c r="D62" s="416"/>
      <c r="E62" s="1171" t="s">
        <v>69</v>
      </c>
      <c r="F62" s="1677" t="s">
        <v>62</v>
      </c>
      <c r="G62" s="79"/>
      <c r="H62" s="779" t="s">
        <v>22</v>
      </c>
      <c r="I62" s="417"/>
      <c r="J62" s="882"/>
      <c r="Q62" s="415">
        <v>0</v>
      </c>
    </row>
    <row s="1618" customFormat="1" customHeight="1" ht="6.3">
      <c r="A63" s="791"/>
      <c r="B63" s="238"/>
      <c r="C63" s="239"/>
      <c r="D63" s="245"/>
      <c r="E63" s="243"/>
      <c r="F63" s="246"/>
      <c r="G63" s="83"/>
      <c r="H63" s="415"/>
      <c r="I63" s="417"/>
      <c r="J63" s="880"/>
      <c r="Q63" s="242">
        <v>6</v>
      </c>
    </row>
    <row customHeight="1" ht="21">
      <c r="A64" s="793"/>
      <c r="B64" s="105"/>
      <c r="D64" s="88"/>
      <c r="E64" s="397" t="s">
        <v>70</v>
      </c>
      <c r="F64" s="222" t="s">
        <v>71</v>
      </c>
      <c r="G64" s="83"/>
      <c r="Q64" s="80">
        <v>20</v>
      </c>
    </row>
    <row customHeight="1" ht="21">
      <c r="A65" s="793"/>
      <c r="B65" s="105"/>
      <c r="D65" s="88"/>
      <c r="E65" s="397" t="s">
        <v>72</v>
      </c>
      <c r="F65" s="222" t="s">
        <v>73</v>
      </c>
      <c r="G65" s="83"/>
      <c r="Q65" s="80">
        <v>20</v>
      </c>
    </row>
    <row customHeight="1" ht="36.75">
      <c r="D66" s="81"/>
      <c r="E66" s="399" t="s">
        <v>74</v>
      </c>
      <c r="F66" s="1060"/>
      <c r="G66" s="79"/>
      <c r="Q66" s="80">
        <v>35</v>
      </c>
    </row>
    <row customHeight="1" ht="21">
      <c r="A67" s="793"/>
      <c r="D67" s="416"/>
      <c r="E67" s="397" t="s">
        <v>75</v>
      </c>
      <c r="F67" s="277" t="s">
        <v>76</v>
      </c>
      <c r="G67" s="83"/>
      <c r="Q67" s="80">
        <v>20</v>
      </c>
    </row>
    <row customHeight="1" ht="21">
      <c r="A68" s="793"/>
      <c r="B68" s="105"/>
      <c r="D68" s="88"/>
      <c r="E68" s="397" t="s">
        <v>77</v>
      </c>
      <c r="F68" s="277" t="s">
        <v>78</v>
      </c>
      <c r="G68" s="83"/>
      <c r="Q68" s="80">
        <v>20</v>
      </c>
    </row>
    <row customHeight="1" ht="21">
      <c r="A69" s="793"/>
      <c r="B69" s="105"/>
      <c r="D69" s="88"/>
      <c r="E69" s="397" t="s">
        <v>79</v>
      </c>
      <c r="F69" s="277" t="s">
        <v>80</v>
      </c>
      <c r="G69" s="83"/>
      <c r="Q69" s="80">
        <v>20</v>
      </c>
    </row>
    <row customHeight="1" ht="21">
      <c r="D70" s="416"/>
      <c r="E70" s="397" t="s">
        <v>81</v>
      </c>
      <c r="F70" s="2635" t="s">
        <v>82</v>
      </c>
      <c r="G70" s="79"/>
      <c r="Q70" s="80">
        <v>20</v>
      </c>
    </row>
    <row customHeight="1" ht="21">
      <c r="A71" s="793"/>
      <c r="D71" s="79"/>
      <c r="F71" s="139"/>
      <c r="G71" s="83"/>
      <c r="Q71" s="80">
        <v>20</v>
      </c>
    </row>
    <row customHeight="1" ht="21">
      <c r="A72" s="793"/>
      <c r="B72" s="105"/>
      <c r="D72" s="88"/>
      <c r="E72" s="87"/>
      <c r="F72" s="1039" t="s">
        <v>13</v>
      </c>
      <c r="G72" s="83"/>
      <c r="Q72" s="80">
        <v>20</v>
      </c>
    </row>
    <row customHeight="1" ht="21">
      <c r="A73" s="793"/>
      <c r="B73" s="105"/>
      <c r="D73" s="88"/>
      <c r="E73" s="87"/>
      <c r="F73" s="140"/>
      <c r="G73" s="83"/>
      <c r="Q73" s="80">
        <v>20</v>
      </c>
    </row>
    <row customHeight="1" ht="21">
      <c r="A74" s="793"/>
      <c r="B74" s="105"/>
      <c r="D74" s="88"/>
      <c r="E74" s="92"/>
      <c r="F74" s="140"/>
      <c r="G74" s="83"/>
      <c r="Q74" s="80">
        <v>20</v>
      </c>
    </row>
    <row customHeight="1" ht="21">
      <c r="A75" s="793"/>
      <c r="B75" s="105"/>
      <c r="D75" s="88"/>
      <c r="E75" s="87"/>
      <c r="F75" s="140"/>
      <c r="G75" s="83"/>
      <c r="Q75" s="80">
        <v>20</v>
      </c>
    </row>
    <row customHeight="1" ht="11.549999999999999">
      <c r="Q76" s="80">
        <v>11</v>
      </c>
    </row>
    <row customHeight="1" ht="11.549999999999999">
      <c r="Q77" s="80">
        <v>11</v>
      </c>
    </row>
    <row customHeight="1" ht="11.549999999999999">
      <c r="E78" s="396"/>
      <c r="F78" s="396"/>
      <c r="G78" s="396"/>
      <c r="H78" s="396"/>
      <c r="I78" s="396"/>
      <c r="Q78" s="80">
        <v>11</v>
      </c>
    </row>
    <row customHeight="1" ht="11.25" hidden="1">
      <c r="A79" s="790" t="s">
        <v>83</v>
      </c>
      <c r="B79" s="104">
        <v>0</v>
      </c>
      <c r="C79" s="78">
        <v>3</v>
      </c>
      <c r="D79" s="80">
        <v>1</v>
      </c>
      <c r="E79" s="80">
        <v>55</v>
      </c>
      <c r="F79" s="80">
        <v>54</v>
      </c>
      <c r="G79" s="777">
        <v>1</v>
      </c>
      <c r="H79" s="415">
        <v>0</v>
      </c>
      <c r="I79" s="417">
        <v>59</v>
      </c>
      <c r="J79" s="882">
        <v>0</v>
      </c>
      <c r="K79" s="80">
        <v>8</v>
      </c>
      <c r="L79" s="80">
        <v>77</v>
      </c>
      <c r="M79" s="80">
        <v>8</v>
      </c>
      <c r="N79" s="80">
        <v>8</v>
      </c>
      <c r="O79" s="80">
        <v>8</v>
      </c>
      <c r="P79" s="80">
        <v>8</v>
      </c>
      <c r="Q79" s="80">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D042CF42-D644-C4FA-3771-B247B41439F6}"/>
    <hyperlink ref="H17" location="Титульный!H9" display="Как заполнить?" tooltip="Помощь по работе с полями отчётной формы" xr:uid="{B04A5311-47D5-B9FE-D6AE-31F8185B93AE}"/>
    <hyperlink ref="H39" location="Титульный!H9" display="Как заполнить?" tooltip="Помощь по работе с полями отчётной формы" xr:uid="{88300C4D-9713-3152-732E-0E7A98FC01EE}"/>
    <hyperlink ref="H62" location="Титульный!H9" display="Как заполнить?" tooltip="Помощь по работе с полями отчётной формы" xr:uid="{9FB0CC3E-D0CE-7CEC-A3B7-A4425BF50F3D}"/>
    <hyperlink ref="F70" r:id="rId4" xr:uid="{AE7C512B-D39F-B158-5E43-180CEB2FB922}"/>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1B96BB-1AFB-43D3-03B6-0C719005CF0F}"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5.421875" customWidth="1"/>
    <col min="29" max="30" style="1641" width="3.00390625" customWidth="1"/>
    <col min="31" max="31" style="1641" width="24.00390625" customWidth="1"/>
    <col min="32" max="32" style="1641" width="3.7109375" customWidth="1"/>
    <col min="33" max="34" style="1641" width="3.00390625" customWidth="1"/>
    <col min="35" max="35" style="1641" width="24.00390625" customWidth="1"/>
    <col min="36" max="36" style="1641" width="3.7109375" customWidth="1"/>
    <col min="37" max="38" style="1641" width="3.00390625" customWidth="1"/>
    <col min="39" max="39" style="1641" width="18.00390625" customWidth="1"/>
    <col min="40" max="41" style="1641" width="21.00390625" customWidth="1"/>
    <col min="42" max="42" style="1641" width="11.00390625" customWidth="1"/>
    <col min="43" max="43" style="1641" width="3.7109375" customWidth="1"/>
    <col min="44" max="44" style="1641" width="11.00390625" customWidth="1"/>
    <col min="45" max="45" style="1641" width="8.57421875" hidden="1" customWidth="1"/>
    <col min="46" max="46" style="1641" width="4.00390625" customWidth="1"/>
    <col min="47" max="47" style="1641" width="115.00390625" customWidth="1"/>
    <col min="48" max="52" style="1648" width="10.00390625" customWidth="1"/>
    <col min="53" max="53" style="1641" width="10.57421875" hidden="1"/>
  </cols>
  <sheetData>
    <row customHeight="1" ht="22.5" hidden="1">
      <c r="W1" s="333"/>
      <c r="X1" s="333"/>
      <c r="AO1" s="333"/>
      <c r="AP1" s="333"/>
      <c r="BA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342">
        <f>INDEX(PT_DIFFERENTIATION_NUM_NTAR,MATCH(A2,PT_DIFFERENTIATION_NTAR_ID,0))</f>
      </c>
      <c r="T2" s="304" t="s">
        <v>125</v>
      </c>
      <c r="U2" s="306"/>
      <c r="V2" s="2249"/>
      <c r="W2" s="2249"/>
      <c r="X2" s="2249"/>
      <c r="Y2" s="2249"/>
      <c r="Z2" s="2249"/>
      <c r="AA2" s="2250"/>
      <c r="AB2" s="2248">
        <f>INDEX(PT_DIFFERENTIATION_NTAR,MATCH(A2,PT_DIFFERENTIATION_NTAR_ID,0))</f>
      </c>
      <c r="AC2" s="2249"/>
      <c r="AD2" s="2249"/>
      <c r="AE2" s="2249"/>
      <c r="AF2" s="2249"/>
      <c r="AG2" s="2249"/>
      <c r="AH2" s="2249"/>
      <c r="AI2" s="2249"/>
      <c r="AJ2" s="2249"/>
      <c r="AK2" s="2249"/>
      <c r="AL2" s="2249"/>
      <c r="AM2" s="2249"/>
      <c r="AN2" s="2249"/>
      <c r="AO2" s="2249"/>
      <c r="AP2" s="2249"/>
      <c r="AQ2" s="2249"/>
      <c r="AR2" s="2249"/>
      <c r="AS2" s="2249"/>
      <c r="AT2" s="2250"/>
      <c r="AU2" s="1264" t="s">
        <v>412</v>
      </c>
      <c r="AW2" s="506"/>
      <c r="AX2" s="506" t="str">
        <f>IF(T2="","",T2)</f>
        <v>Наименование тарифа</v>
      </c>
      <c r="AY2" s="506"/>
      <c r="AZ2" s="506"/>
      <c r="BA2" s="1161">
        <v>0</v>
      </c>
    </row>
    <row customHeight="1" ht="21" hidden="1">
      <c r="A3" s="1369"/>
      <c r="B3" s="1369"/>
      <c r="C3" s="1369"/>
      <c r="D3" s="1369"/>
      <c r="E3" s="2265"/>
      <c r="F3" s="2264">
        <v>1</v>
      </c>
      <c r="G3" s="1369"/>
      <c r="H3" s="1369"/>
      <c r="I3" s="1369"/>
      <c r="J3" s="1369"/>
      <c r="K3" s="1369"/>
      <c r="L3" s="1370"/>
      <c r="M3" s="1371"/>
      <c r="N3" s="1371"/>
      <c r="O3" s="1371"/>
      <c r="P3" s="1416"/>
      <c r="Q3" s="1417"/>
      <c r="R3" s="359"/>
      <c r="S3" s="1342">
        <f>INDEX(PT_DIFFERENTIATION_NUM_TER,MATCH(B3,PT_DIFFERENTIATION_TER_ID,0))</f>
      </c>
      <c r="T3" s="314" t="s">
        <v>413</v>
      </c>
      <c r="U3" s="306"/>
      <c r="V3" s="2249"/>
      <c r="W3" s="2249"/>
      <c r="X3" s="2249"/>
      <c r="Y3" s="2249"/>
      <c r="Z3" s="2249"/>
      <c r="AA3" s="2250"/>
      <c r="AB3" s="2248">
        <f>INDEX(PT_DIFFERENTIATION_TER,MATCH(B3,PT_DIFFERENTIATION_TER_ID,0))</f>
      </c>
      <c r="AC3" s="2249"/>
      <c r="AD3" s="2249"/>
      <c r="AE3" s="2249"/>
      <c r="AF3" s="2249"/>
      <c r="AG3" s="2249"/>
      <c r="AH3" s="2249"/>
      <c r="AI3" s="2249"/>
      <c r="AJ3" s="2249"/>
      <c r="AK3" s="2249"/>
      <c r="AL3" s="2249"/>
      <c r="AM3" s="2249"/>
      <c r="AN3" s="2249"/>
      <c r="AO3" s="2249"/>
      <c r="AP3" s="2249"/>
      <c r="AQ3" s="2249"/>
      <c r="AR3" s="2249"/>
      <c r="AS3" s="2249"/>
      <c r="AT3" s="2250"/>
      <c r="AU3" s="1264" t="s">
        <v>414</v>
      </c>
      <c r="AW3" s="506"/>
      <c r="AX3" s="506" t="str">
        <f>IF(T3="","",T3)</f>
        <v>Территория действия тарифа</v>
      </c>
      <c r="AY3" s="506"/>
      <c r="AZ3" s="506"/>
      <c r="BA3" s="1161">
        <v>0</v>
      </c>
    </row>
    <row customHeight="1" ht="22.5" hidden="1">
      <c r="A4" s="1369"/>
      <c r="B4" s="1369"/>
      <c r="C4" s="1369"/>
      <c r="D4" s="1369"/>
      <c r="E4" s="2265"/>
      <c r="F4" s="2265"/>
      <c r="G4" s="2264">
        <v>1</v>
      </c>
      <c r="H4" s="1369"/>
      <c r="I4" s="1369"/>
      <c r="J4" s="1369"/>
      <c r="K4" s="1369"/>
      <c r="L4" s="1370"/>
      <c r="M4" s="1371"/>
      <c r="N4" s="1371"/>
      <c r="O4" s="1371"/>
      <c r="P4" s="1418"/>
      <c r="Q4" s="1417"/>
      <c r="R4" s="359"/>
      <c r="S4" s="1342">
        <f>INDEX(PT_DIFFERENTIATION_NUM_CS,MATCH(C4,PT_DIFFERENTIATION_CS_ID,0))</f>
      </c>
      <c r="T4" s="315" t="s">
        <v>415</v>
      </c>
      <c r="U4" s="306"/>
      <c r="V4" s="2249"/>
      <c r="W4" s="2249"/>
      <c r="X4" s="2249"/>
      <c r="Y4" s="2249"/>
      <c r="Z4" s="2249"/>
      <c r="AA4" s="2250"/>
      <c r="AB4" s="2248">
        <f>INDEX(PT_DIFFERENTIATION_CS,MATCH(C4,PT_DIFFERENTIATION_CS_ID,0))</f>
      </c>
      <c r="AC4" s="2249"/>
      <c r="AD4" s="2249"/>
      <c r="AE4" s="2249"/>
      <c r="AF4" s="2249"/>
      <c r="AG4" s="2249"/>
      <c r="AH4" s="2249"/>
      <c r="AI4" s="2249"/>
      <c r="AJ4" s="2249"/>
      <c r="AK4" s="2249"/>
      <c r="AL4" s="2249"/>
      <c r="AM4" s="2249"/>
      <c r="AN4" s="2249"/>
      <c r="AO4" s="2249"/>
      <c r="AP4" s="2249"/>
      <c r="AQ4" s="2249"/>
      <c r="AR4" s="2249"/>
      <c r="AS4" s="2249"/>
      <c r="AT4" s="2250"/>
      <c r="AU4" s="1264" t="s">
        <v>416</v>
      </c>
      <c r="AW4" s="506"/>
      <c r="AX4" s="506" t="str">
        <f>IF(T4="","",T4)</f>
        <v>Наименование системы теплоснабжения </v>
      </c>
      <c r="AY4" s="506"/>
      <c r="AZ4" s="506"/>
      <c r="BA4" s="1161">
        <v>0</v>
      </c>
    </row>
    <row customHeight="1" ht="21" hidden="1">
      <c r="A5" s="1369"/>
      <c r="B5" s="1369"/>
      <c r="C5" s="1369"/>
      <c r="D5" s="1369"/>
      <c r="E5" s="2265"/>
      <c r="F5" s="2265"/>
      <c r="G5" s="2265"/>
      <c r="H5" s="2264">
        <v>1</v>
      </c>
      <c r="I5" s="1369"/>
      <c r="J5" s="1369"/>
      <c r="K5" s="1369"/>
      <c r="L5" s="1370"/>
      <c r="M5" s="1371"/>
      <c r="N5" s="1371"/>
      <c r="O5" s="1371"/>
      <c r="P5" s="1418"/>
      <c r="Q5" s="1417"/>
      <c r="R5" s="359"/>
      <c r="S5" s="1342">
        <f>INDEX(PT_DIFFERENTIATION_NUM_IST_TE,MATCH(D5,PT_DIFFERENTIATION_IST_TE_ID,0))</f>
      </c>
      <c r="T5" s="316" t="s">
        <v>417</v>
      </c>
      <c r="U5" s="306"/>
      <c r="V5" s="2249"/>
      <c r="W5" s="2249"/>
      <c r="X5" s="2249"/>
      <c r="Y5" s="2249"/>
      <c r="Z5" s="2249"/>
      <c r="AA5" s="2250"/>
      <c r="AB5" s="2248">
        <f>INDEX(PT_DIFFERENTIATION_IST_TE,MATCH(D5,PT_DIFFERENTIATION_IST_TE_ID,0))</f>
      </c>
      <c r="AC5" s="2249"/>
      <c r="AD5" s="2249"/>
      <c r="AE5" s="2249"/>
      <c r="AF5" s="2249"/>
      <c r="AG5" s="2249"/>
      <c r="AH5" s="2249"/>
      <c r="AI5" s="2249"/>
      <c r="AJ5" s="2249"/>
      <c r="AK5" s="2249"/>
      <c r="AL5" s="2249"/>
      <c r="AM5" s="2249"/>
      <c r="AN5" s="2249"/>
      <c r="AO5" s="2249"/>
      <c r="AP5" s="2249"/>
      <c r="AQ5" s="2249"/>
      <c r="AR5" s="2249"/>
      <c r="AS5" s="2249"/>
      <c r="AT5" s="2250"/>
      <c r="AU5" s="1264" t="s">
        <v>418</v>
      </c>
      <c r="AW5" s="506"/>
      <c r="AX5" s="506" t="str">
        <f>IF(T5="","",T5)</f>
        <v>Источник тепловой энергии  </v>
      </c>
      <c r="AY5" s="506"/>
      <c r="AZ5" s="506"/>
      <c r="BA5" s="1161">
        <v>0</v>
      </c>
    </row>
    <row s="1648" customFormat="1" customHeight="1" ht="0.75" hidden="1">
      <c r="A6" s="1349"/>
      <c r="B6" s="1349"/>
      <c r="C6" s="1349"/>
      <c r="D6" s="1349"/>
      <c r="E6" s="2265"/>
      <c r="F6" s="2265"/>
      <c r="G6" s="2265"/>
      <c r="H6" s="2265"/>
      <c r="I6" s="2262">
        <f>S5&amp;".1"</f>
      </c>
      <c r="J6" s="1349"/>
      <c r="K6" s="1349"/>
      <c r="L6" s="1352" t="s">
        <v>419</v>
      </c>
      <c r="M6" s="516"/>
      <c r="N6" s="516"/>
      <c r="O6" s="516"/>
      <c r="P6" s="2263">
        <v>1</v>
      </c>
      <c r="Q6" s="1337"/>
      <c r="R6" s="362"/>
      <c r="S6" s="1048"/>
      <c r="T6" s="1389"/>
      <c r="U6" s="1390"/>
      <c r="V6" s="2303"/>
      <c r="W6" s="2303"/>
      <c r="X6" s="2303"/>
      <c r="Y6" s="2303"/>
      <c r="Z6" s="2303"/>
      <c r="AA6" s="2304"/>
      <c r="AB6" s="2302"/>
      <c r="AC6" s="2303"/>
      <c r="AD6" s="2303"/>
      <c r="AE6" s="2303"/>
      <c r="AF6" s="2303"/>
      <c r="AG6" s="2303"/>
      <c r="AH6" s="2303"/>
      <c r="AI6" s="2303"/>
      <c r="AJ6" s="2303"/>
      <c r="AK6" s="2303"/>
      <c r="AL6" s="2303"/>
      <c r="AM6" s="2303"/>
      <c r="AN6" s="2303"/>
      <c r="AO6" s="2303"/>
      <c r="AP6" s="2303"/>
      <c r="AQ6" s="2303"/>
      <c r="AR6" s="2303"/>
      <c r="AS6" s="2303"/>
      <c r="AT6" s="2304"/>
      <c r="AU6" s="1391"/>
      <c r="AW6" s="506"/>
      <c r="AX6" s="506" t="str">
        <f>IF(T6="","",T6)</f>
        <v/>
      </c>
      <c r="AY6" s="506"/>
      <c r="AZ6" s="506"/>
      <c r="BA6" s="517">
        <v>0</v>
      </c>
    </row>
    <row s="1648" customFormat="1" customHeight="1" ht="0.75" hidden="1">
      <c r="A7" s="1349"/>
      <c r="B7" s="1349"/>
      <c r="C7" s="1349"/>
      <c r="D7" s="1349"/>
      <c r="E7" s="2265"/>
      <c r="F7" s="2265"/>
      <c r="G7" s="2265"/>
      <c r="H7" s="2265"/>
      <c r="I7" s="2292"/>
      <c r="J7" s="2262">
        <f>S5&amp;".1"</f>
      </c>
      <c r="K7" s="1349"/>
      <c r="L7" s="1352"/>
      <c r="M7" s="516"/>
      <c r="N7" s="516"/>
      <c r="O7" s="516"/>
      <c r="P7" s="2263"/>
      <c r="Q7" s="2263">
        <v>1</v>
      </c>
      <c r="R7" s="363"/>
      <c r="S7" s="1048"/>
      <c r="T7" s="1405"/>
      <c r="U7" s="1390"/>
      <c r="V7" s="2303"/>
      <c r="W7" s="2303"/>
      <c r="X7" s="2303"/>
      <c r="Y7" s="2303"/>
      <c r="Z7" s="2303"/>
      <c r="AA7" s="2304"/>
      <c r="AB7" s="2302"/>
      <c r="AC7" s="2303"/>
      <c r="AD7" s="2303"/>
      <c r="AE7" s="2303"/>
      <c r="AF7" s="2303"/>
      <c r="AG7" s="2303"/>
      <c r="AH7" s="2303"/>
      <c r="AI7" s="2303"/>
      <c r="AJ7" s="2303"/>
      <c r="AK7" s="2303"/>
      <c r="AL7" s="2303"/>
      <c r="AM7" s="2303"/>
      <c r="AN7" s="2303"/>
      <c r="AO7" s="2303"/>
      <c r="AP7" s="2303"/>
      <c r="AQ7" s="2303"/>
      <c r="AR7" s="2303"/>
      <c r="AS7" s="2303"/>
      <c r="AT7" s="2304"/>
      <c r="AU7" s="1391"/>
      <c r="AW7" s="506"/>
      <c r="AX7" s="506" t="str">
        <f>IF(T7="","",T7)</f>
        <v/>
      </c>
      <c r="AY7" s="506"/>
      <c r="AZ7" s="506"/>
      <c r="BA7" s="517">
        <v>0</v>
      </c>
    </row>
    <row customHeight="1" ht="21" hidden="1">
      <c r="A8" s="1369"/>
      <c r="B8" s="1369"/>
      <c r="C8" s="1369"/>
      <c r="D8" s="1369"/>
      <c r="E8" s="2265"/>
      <c r="F8" s="2265"/>
      <c r="G8" s="2265"/>
      <c r="H8" s="2265"/>
      <c r="I8" s="2292"/>
      <c r="J8" s="2292"/>
      <c r="K8" s="2262">
        <f>S5&amp;".1"</f>
      </c>
      <c r="L8" s="1370"/>
      <c r="P8" s="2263"/>
      <c r="Q8" s="2263"/>
      <c r="R8" s="2353">
        <v>1</v>
      </c>
      <c r="S8" s="2347">
        <f>$K8</f>
      </c>
      <c r="T8" s="2350"/>
      <c r="U8" s="306"/>
      <c r="V8" s="757"/>
      <c r="W8" s="1263"/>
      <c r="X8" s="2271"/>
      <c r="Y8" s="2113" t="s">
        <v>62</v>
      </c>
      <c r="Z8" s="2271"/>
      <c r="AA8" s="2113" t="s">
        <v>62</v>
      </c>
      <c r="AB8" s="2113" t="s">
        <v>19</v>
      </c>
      <c r="AC8" s="2332"/>
      <c r="AD8" s="2211">
        <v>1</v>
      </c>
      <c r="AE8" s="2333"/>
      <c r="AF8" s="2113" t="s">
        <v>19</v>
      </c>
      <c r="AG8" s="2332"/>
      <c r="AH8" s="2211">
        <v>1</v>
      </c>
      <c r="AI8" s="2333"/>
      <c r="AJ8" s="2113" t="s">
        <v>19</v>
      </c>
      <c r="AK8" s="317"/>
      <c r="AL8" s="1343">
        <v>1</v>
      </c>
      <c r="AM8" s="1404"/>
      <c r="AN8" s="757"/>
      <c r="AO8" s="1263"/>
      <c r="AP8" s="1740"/>
      <c r="AQ8" s="1465" t="s">
        <v>62</v>
      </c>
      <c r="AR8" s="1740"/>
      <c r="AS8" s="1465" t="s">
        <v>62</v>
      </c>
      <c r="AT8" s="1354"/>
      <c r="AU8" s="2259" t="s">
        <v>477</v>
      </c>
      <c r="AV8" s="517">
        <f>STRCHECKDATE(V11:AT11)</f>
      </c>
      <c r="AW8" s="506"/>
      <c r="AX8" s="506" t="str">
        <f>IF(T8="","",T8)</f>
        <v/>
      </c>
      <c r="AY8" s="506"/>
      <c r="AZ8" s="506"/>
      <c r="BA8" s="1161">
        <v>0</v>
      </c>
    </row>
    <row customHeight="1" ht="11.25" hidden="1">
      <c r="A9" s="1369"/>
      <c r="B9" s="1369"/>
      <c r="C9" s="1369"/>
      <c r="D9" s="1369"/>
      <c r="E9" s="2265"/>
      <c r="F9" s="2265"/>
      <c r="G9" s="2265"/>
      <c r="H9" s="2265"/>
      <c r="I9" s="2292"/>
      <c r="J9" s="2292"/>
      <c r="K9" s="2262"/>
      <c r="L9" s="1370"/>
      <c r="P9" s="2263"/>
      <c r="Q9" s="2263"/>
      <c r="R9" s="2353"/>
      <c r="S9" s="2348"/>
      <c r="T9" s="2351"/>
      <c r="U9" s="306"/>
      <c r="V9" s="1399"/>
      <c r="W9" s="1403"/>
      <c r="X9" s="2271"/>
      <c r="Y9" s="2113"/>
      <c r="Z9" s="2271"/>
      <c r="AA9" s="2113"/>
      <c r="AB9" s="2113"/>
      <c r="AC9" s="2332"/>
      <c r="AD9" s="2211"/>
      <c r="AE9" s="2333"/>
      <c r="AF9" s="2113"/>
      <c r="AG9" s="2332"/>
      <c r="AH9" s="2211"/>
      <c r="AI9" s="2333"/>
      <c r="AJ9" s="2113"/>
      <c r="AK9" s="322"/>
      <c r="AL9" s="422"/>
      <c r="AM9" s="421" t="s">
        <v>478</v>
      </c>
      <c r="AN9" s="1399"/>
      <c r="AO9" s="1502"/>
      <c r="AP9" s="1399"/>
      <c r="AQ9" s="1399"/>
      <c r="AR9" s="1399"/>
      <c r="AS9" s="1399"/>
      <c r="AT9" s="1396"/>
      <c r="AU9" s="2260"/>
      <c r="AW9" s="506"/>
      <c r="AX9" s="506"/>
      <c r="AY9" s="506"/>
      <c r="AZ9" s="506"/>
      <c r="BA9" s="1161">
        <v>0</v>
      </c>
    </row>
    <row customHeight="1" ht="11.25" hidden="1">
      <c r="A10" s="1369"/>
      <c r="B10" s="1369"/>
      <c r="C10" s="1369"/>
      <c r="D10" s="1369"/>
      <c r="E10" s="2265"/>
      <c r="F10" s="2265"/>
      <c r="G10" s="2265"/>
      <c r="H10" s="2265"/>
      <c r="I10" s="2292"/>
      <c r="J10" s="2292"/>
      <c r="K10" s="2262"/>
      <c r="L10" s="1370"/>
      <c r="P10" s="2263"/>
      <c r="Q10" s="2263"/>
      <c r="R10" s="2353"/>
      <c r="S10" s="2348"/>
      <c r="T10" s="2351"/>
      <c r="U10" s="306"/>
      <c r="V10" s="1399"/>
      <c r="W10" s="1403"/>
      <c r="X10" s="2271"/>
      <c r="Y10" s="2113"/>
      <c r="Z10" s="2271"/>
      <c r="AA10" s="2113"/>
      <c r="AB10" s="2113"/>
      <c r="AC10" s="2332"/>
      <c r="AD10" s="2211"/>
      <c r="AE10" s="2333"/>
      <c r="AF10" s="2113"/>
      <c r="AG10" s="300"/>
      <c r="AH10" s="421"/>
      <c r="AI10" s="421" t="s">
        <v>479</v>
      </c>
      <c r="AJ10" s="1399"/>
      <c r="AK10" s="1399"/>
      <c r="AL10" s="1399"/>
      <c r="AM10" s="1399"/>
      <c r="AN10" s="1399"/>
      <c r="AO10" s="1502"/>
      <c r="AP10" s="1399"/>
      <c r="AQ10" s="1399"/>
      <c r="AR10" s="1399"/>
      <c r="AS10" s="1399"/>
      <c r="AT10" s="1396"/>
      <c r="AU10" s="2260"/>
      <c r="AW10" s="506"/>
      <c r="AX10" s="506"/>
      <c r="AY10" s="506"/>
      <c r="AZ10" s="506"/>
      <c r="BA10" s="1161">
        <v>0</v>
      </c>
    </row>
    <row customHeight="1" ht="11.25" hidden="1">
      <c r="A11" s="1369"/>
      <c r="B11" s="1369"/>
      <c r="C11" s="1369"/>
      <c r="D11" s="1369"/>
      <c r="E11" s="2265"/>
      <c r="F11" s="2265"/>
      <c r="G11" s="2265"/>
      <c r="H11" s="2265"/>
      <c r="I11" s="2292"/>
      <c r="J11" s="2292"/>
      <c r="K11" s="2262"/>
      <c r="L11" s="1370"/>
      <c r="P11" s="2263"/>
      <c r="Q11" s="2263"/>
      <c r="R11" s="2353"/>
      <c r="S11" s="2349"/>
      <c r="T11" s="2352"/>
      <c r="U11" s="306"/>
      <c r="V11" s="1399"/>
      <c r="W11" s="1402" t="str">
        <f>X8&amp;"-"&amp;Z8</f>
        <v>-</v>
      </c>
      <c r="X11" s="2272"/>
      <c r="Y11" s="2113"/>
      <c r="Z11" s="2272"/>
      <c r="AA11" s="2113"/>
      <c r="AB11" s="2113"/>
      <c r="AC11" s="318"/>
      <c r="AD11" s="320"/>
      <c r="AE11" s="421" t="s">
        <v>480</v>
      </c>
      <c r="AF11" s="1399"/>
      <c r="AG11" s="1399"/>
      <c r="AH11" s="1399"/>
      <c r="AI11" s="1399"/>
      <c r="AJ11" s="1399"/>
      <c r="AK11" s="1399"/>
      <c r="AL11" s="1399"/>
      <c r="AM11" s="1399"/>
      <c r="AN11" s="1399"/>
      <c r="AO11" s="1400" t="str">
        <f>AP8&amp;"-"&amp;AR8</f>
        <v>-</v>
      </c>
      <c r="AP11" s="1399"/>
      <c r="AQ11" s="1399"/>
      <c r="AR11" s="1399"/>
      <c r="AS11" s="1399"/>
      <c r="AT11" s="1355"/>
      <c r="AU11" s="2260"/>
      <c r="AW11" s="506"/>
      <c r="AX11" s="506" t="str">
        <f>IF(T11="","",T11)</f>
        <v/>
      </c>
      <c r="AY11" s="506"/>
      <c r="AZ11" s="506"/>
      <c r="BA11" s="1161">
        <v>0</v>
      </c>
    </row>
    <row customHeight="1" ht="11.25" hidden="1">
      <c r="A12" s="1369"/>
      <c r="B12" s="1369"/>
      <c r="C12" s="1369"/>
      <c r="D12" s="1369"/>
      <c r="E12" s="2265"/>
      <c r="F12" s="2265"/>
      <c r="G12" s="2265"/>
      <c r="H12" s="2265"/>
      <c r="I12" s="2292"/>
      <c r="J12" s="2262"/>
      <c r="K12" s="1369"/>
      <c r="L12" s="1370"/>
      <c r="P12" s="2263"/>
      <c r="Q12" s="2263"/>
      <c r="R12" s="362"/>
      <c r="S12" s="1284"/>
      <c r="T12" s="293" t="s">
        <v>481</v>
      </c>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30"/>
      <c r="AU12" s="2261"/>
      <c r="AW12" s="506"/>
      <c r="AX12" s="506" t="str">
        <f>IF(T12="","",T12)</f>
        <v>Добавить строку</v>
      </c>
      <c r="AY12" s="506"/>
      <c r="AZ12" s="506"/>
      <c r="BA12" s="1161">
        <v>0</v>
      </c>
    </row>
    <row s="1648" customFormat="1" customHeight="1" ht="0.75" hidden="1">
      <c r="A13" s="1349"/>
      <c r="B13" s="1349"/>
      <c r="C13" s="1349"/>
      <c r="D13" s="1349"/>
      <c r="E13" s="2265"/>
      <c r="F13" s="2265"/>
      <c r="G13" s="2265"/>
      <c r="H13" s="2265"/>
      <c r="I13" s="2262"/>
      <c r="J13" s="1349"/>
      <c r="K13" s="1349"/>
      <c r="L13" s="1352"/>
      <c r="M13" s="516"/>
      <c r="N13" s="516"/>
      <c r="O13" s="516"/>
      <c r="P13" s="2263"/>
      <c r="Q13" s="1337"/>
      <c r="R13" s="362"/>
      <c r="S13" s="1392"/>
      <c r="T13" s="1393"/>
      <c r="U13" s="1394"/>
      <c r="V13" s="1394"/>
      <c r="W13" s="1394"/>
      <c r="X13" s="1394"/>
      <c r="Y13" s="1394"/>
      <c r="Z13" s="1394"/>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5"/>
      <c r="AW13" s="506"/>
      <c r="AX13" s="506" t="str">
        <f>IF(T13="","",T13)</f>
        <v/>
      </c>
      <c r="AY13" s="506"/>
      <c r="AZ13" s="506"/>
      <c r="BA13" s="517">
        <v>0</v>
      </c>
    </row>
    <row s="1648" customFormat="1" customHeight="1" ht="0.75" hidden="1">
      <c r="A14" s="1349"/>
      <c r="B14" s="1349"/>
      <c r="C14" s="1349"/>
      <c r="D14" s="1349"/>
      <c r="E14" s="2265"/>
      <c r="F14" s="2265"/>
      <c r="G14" s="2265"/>
      <c r="H14" s="2264"/>
      <c r="I14" s="1349"/>
      <c r="J14" s="1349"/>
      <c r="K14" s="1349"/>
      <c r="L14" s="1352"/>
      <c r="M14" s="1321"/>
      <c r="N14" s="1321"/>
      <c r="O14" s="524"/>
      <c r="P14" s="386"/>
      <c r="Q14" s="1350"/>
      <c r="R14" s="1407"/>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5"/>
      <c r="AW14" s="506"/>
      <c r="AX14" s="506" t="str">
        <f>IF(T14="","",T14)</f>
        <v/>
      </c>
      <c r="AY14" s="506"/>
      <c r="AZ14" s="506"/>
      <c r="BA14" s="517">
        <v>0</v>
      </c>
    </row>
    <row s="1648" customFormat="1" customHeight="1" ht="0.75" hidden="1">
      <c r="A15" s="1349"/>
      <c r="B15" s="1349"/>
      <c r="C15" s="1349"/>
      <c r="D15" s="1320"/>
      <c r="E15" s="2265"/>
      <c r="F15" s="2265"/>
      <c r="G15" s="2264"/>
      <c r="H15" s="1320"/>
      <c r="I15" s="1320"/>
      <c r="J15" s="1320"/>
      <c r="K15" s="1320"/>
      <c r="L15" s="1345"/>
      <c r="M15" s="1321"/>
      <c r="N15" s="1321"/>
      <c r="P15" s="1322"/>
      <c r="Q15" s="1323"/>
      <c r="R15" s="1322"/>
      <c r="S15" s="1328"/>
      <c r="T15" s="1331" t="s">
        <v>430</v>
      </c>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c r="AT15" s="1330"/>
      <c r="AU15" s="1330"/>
      <c r="AW15" s="795"/>
      <c r="AX15" s="795" t="str">
        <f>IF(T15="","",T15)</f>
        <v>Добавить источник для дифференциации</v>
      </c>
      <c r="AY15" s="795"/>
      <c r="AZ15" s="795"/>
      <c r="BA15" s="524">
        <v>0</v>
      </c>
    </row>
    <row s="1648" customFormat="1" customHeight="1" ht="0.75" hidden="1">
      <c r="A16" s="1349"/>
      <c r="B16" s="1349"/>
      <c r="C16" s="1320"/>
      <c r="D16" s="1320"/>
      <c r="E16" s="2265"/>
      <c r="F16" s="2264"/>
      <c r="G16" s="1320"/>
      <c r="H16" s="1320"/>
      <c r="I16" s="1320"/>
      <c r="J16" s="1320"/>
      <c r="K16" s="1320"/>
      <c r="L16" s="1345"/>
      <c r="M16" s="1327"/>
      <c r="N16" s="1327"/>
      <c r="P16" s="1322"/>
      <c r="Q16" s="1323"/>
      <c r="R16" s="1322"/>
      <c r="S16" s="1328"/>
      <c r="T16" s="1331" t="s">
        <v>251</v>
      </c>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W16" s="795"/>
      <c r="AX16" s="795" t="str">
        <f>IF(T16="","",T16)</f>
        <v>Добавить централизованную систему для дифференциации</v>
      </c>
      <c r="AY16" s="795"/>
      <c r="AZ16" s="795"/>
      <c r="BA16" s="524">
        <v>0</v>
      </c>
    </row>
    <row s="1648" customFormat="1" customHeight="1" ht="0.75" hidden="1">
      <c r="A17" s="1349"/>
      <c r="B17" s="1349"/>
      <c r="C17" s="1349"/>
      <c r="D17" s="1349"/>
      <c r="E17" s="2264"/>
      <c r="F17" s="1349"/>
      <c r="G17" s="1349"/>
      <c r="H17" s="1349"/>
      <c r="I17" s="1349"/>
      <c r="J17" s="1349"/>
      <c r="K17" s="1349"/>
      <c r="L17" s="1352"/>
      <c r="M17" s="1327"/>
      <c r="N17" s="1327"/>
      <c r="O17" s="524"/>
      <c r="P17" s="386"/>
      <c r="Q17" s="1350"/>
      <c r="R17" s="386"/>
      <c r="S17" s="1328"/>
      <c r="T17" s="1331" t="s">
        <v>252</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W17" s="506"/>
      <c r="AX17" s="506" t="str">
        <f>IF(T17="","",T17)</f>
        <v>Добавить территорию для дифференциации</v>
      </c>
      <c r="AY17" s="506"/>
      <c r="AZ17" s="506"/>
      <c r="BA17" s="517">
        <v>0</v>
      </c>
    </row>
    <row customHeight="1" ht="14.25" hidden="1">
      <c r="AA18" s="333"/>
      <c r="AS18" s="333"/>
      <c r="BA18" s="1161">
        <v>0</v>
      </c>
    </row>
    <row customHeight="1" ht="14.25" hidden="1">
      <c r="AB19" s="1330" t="s">
        <v>19</v>
      </c>
      <c r="AC19" s="1507"/>
      <c r="AD19" s="554">
        <v>1</v>
      </c>
      <c r="AE19" s="1508"/>
      <c r="AF19" s="1330" t="s">
        <v>19</v>
      </c>
      <c r="AG19" s="1507"/>
      <c r="AH19" s="554">
        <v>1</v>
      </c>
      <c r="AI19" s="1508"/>
      <c r="AJ19" s="1330" t="s">
        <v>19</v>
      </c>
      <c r="AK19" s="1509"/>
      <c r="AL19" s="554">
        <v>1</v>
      </c>
      <c r="AM19" s="1512"/>
      <c r="AN19" s="1409"/>
      <c r="AO19" s="1410"/>
      <c r="AP19" s="1742"/>
      <c r="AQ19" s="1466" t="s">
        <v>62</v>
      </c>
      <c r="AR19" s="1742"/>
      <c r="AS19" s="1466" t="s">
        <v>62</v>
      </c>
      <c r="BA19" s="1161">
        <v>0</v>
      </c>
    </row>
    <row customHeight="1" ht="14.25" hidden="1">
      <c r="AV20" s="502"/>
      <c r="AW20" s="502"/>
      <c r="AX20" s="502"/>
      <c r="AY20" s="502"/>
      <c r="AZ20" s="502"/>
      <c r="BA20" s="1161">
        <v>0</v>
      </c>
    </row>
    <row customHeight="1" ht="14.25" hidden="1">
      <c r="O21" s="1373" t="s">
        <v>431</v>
      </c>
      <c r="X21" s="1351"/>
      <c r="Z21" s="1351"/>
      <c r="AA21" s="333"/>
      <c r="AP21" s="1351"/>
      <c r="AR21" s="1351"/>
      <c r="AS21" s="333"/>
      <c r="AV21" s="502"/>
      <c r="AW21" s="502"/>
      <c r="AX21" s="502"/>
      <c r="AY21" s="502"/>
      <c r="AZ21" s="502"/>
      <c r="BA21" s="1161">
        <v>0</v>
      </c>
    </row>
    <row customHeight="1" ht="14.25" hidden="1">
      <c r="AA22" s="333"/>
      <c r="AS22" s="333"/>
      <c r="AV22" s="502"/>
      <c r="AW22" s="502"/>
      <c r="AX22" s="502"/>
      <c r="AY22" s="502"/>
      <c r="AZ22" s="502"/>
      <c r="BA22" s="1161">
        <v>0</v>
      </c>
    </row>
    <row s="1515" customFormat="1" customHeight="1" ht="14.25" hidden="1">
      <c r="M23" s="1514"/>
      <c r="N23" s="1514"/>
      <c r="O23" s="1515" t="s">
        <v>432</v>
      </c>
      <c r="P23" s="1514"/>
      <c r="Q23" s="1516"/>
      <c r="R23" s="1516"/>
      <c r="Y23" s="1513" t="s">
        <v>434</v>
      </c>
      <c r="AA23" s="1513" t="s">
        <v>435</v>
      </c>
      <c r="AB23" s="1513" t="s">
        <v>482</v>
      </c>
      <c r="AE23" s="1513" t="s">
        <v>483</v>
      </c>
      <c r="AF23" s="1513" t="s">
        <v>482</v>
      </c>
      <c r="AI23" s="1513" t="s">
        <v>484</v>
      </c>
      <c r="AJ23" s="1513" t="s">
        <v>482</v>
      </c>
      <c r="AM23" s="1513" t="s">
        <v>485</v>
      </c>
      <c r="AQ23" s="1513" t="s">
        <v>434</v>
      </c>
      <c r="AS23" s="1513" t="s">
        <v>435</v>
      </c>
      <c r="AV23" s="1517"/>
      <c r="AW23" s="1517"/>
      <c r="AX23" s="1517"/>
      <c r="AY23" s="1517"/>
      <c r="AZ23" s="1517"/>
      <c r="BA23" s="1513">
        <v>0</v>
      </c>
    </row>
    <row customHeight="1" ht="14.25" hidden="1">
      <c r="O24" s="1370"/>
      <c r="AV24" s="502"/>
      <c r="AW24" s="502"/>
      <c r="AX24" s="502"/>
      <c r="AY24" s="502"/>
      <c r="AZ24" s="502"/>
      <c r="BA24" s="1161">
        <v>0</v>
      </c>
    </row>
    <row customHeight="1" ht="14.25" hidden="1">
      <c r="O25" s="1370"/>
      <c r="AV25" s="502"/>
      <c r="AW25" s="502"/>
      <c r="AX25" s="502"/>
      <c r="AY25" s="502"/>
      <c r="AZ25" s="502"/>
      <c r="BA25" s="1161">
        <v>0</v>
      </c>
    </row>
    <row customHeight="1" ht="14.699999999999998">
      <c r="Q26" s="297"/>
      <c r="R26" s="382"/>
      <c r="S26" s="1281"/>
      <c r="T26" s="369"/>
      <c r="U26" s="369"/>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BA26" s="1161">
        <v>14</v>
      </c>
    </row>
    <row customHeight="1" ht="27.299999999999997">
      <c r="Q27" s="297"/>
      <c r="R27" s="382"/>
      <c r="S27" s="225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1249"/>
      <c r="BA27" s="1161">
        <v>26</v>
      </c>
    </row>
    <row customHeight="1" ht="14.699999999999998">
      <c r="Q28" s="297"/>
      <c r="R28" s="382"/>
      <c r="S28" s="2255" t="str">
        <f>IF(org=0,"Не определено",org)</f>
        <v>АО «ДГК» СП «Нерюнгринская ГРЭС»</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1249"/>
      <c r="BA28" s="1161">
        <v>14</v>
      </c>
    </row>
    <row customHeight="1" ht="14.25">
      <c r="Q29" s="297"/>
      <c r="R29" s="382"/>
      <c r="S29" s="1281"/>
      <c r="T29" s="369"/>
      <c r="U29" s="369"/>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515"/>
      <c r="BA29" s="1161">
        <v>0</v>
      </c>
    </row>
    <row s="1859" customFormat="1" customHeight="1" ht="25.5">
      <c r="A30" s="1374"/>
      <c r="B30" s="1374"/>
      <c r="C30" s="1374"/>
      <c r="D30" s="1374"/>
      <c r="E30" s="1374"/>
      <c r="F30" s="1374"/>
      <c r="G30" s="1374"/>
      <c r="H30" s="1374"/>
      <c r="I30" s="1374"/>
      <c r="J30" s="1374"/>
      <c r="K30" s="1374"/>
      <c r="L30" s="1375"/>
      <c r="M30" s="1374"/>
      <c r="N30" s="1374"/>
      <c r="O30" s="1374"/>
      <c r="P30" s="1374"/>
      <c r="Q30" s="1374"/>
      <c r="S30" s="2256" t="s">
        <v>42</v>
      </c>
      <c r="T30" s="2256"/>
      <c r="U30" s="1378"/>
      <c r="V30" s="2257" t="str">
        <f>IF(TITLE_NAME_OR_PR_CHANGE="",IF(TITLE_NAME_OR_PR="","",TITLE_NAME_OR_PR),TITLE_NAME_OR_PR_CHANGE)</f>
        <v>Государственный комитет по ценовой политике Республики Саха (Якутия)</v>
      </c>
      <c r="W30" s="2257"/>
      <c r="X30" s="2257"/>
      <c r="Y30" s="2257"/>
      <c r="Z30" s="2257"/>
      <c r="AA30" s="332"/>
      <c r="AB30" s="2257" t="str">
        <f>IF(TITLE_NAME_OR_PR_CHANGE="",IF(TITLE_NAME_OR_PR="","",TITLE_NAME_OR_PR),TITLE_NAME_OR_PR_CHANGE)</f>
        <v>Государственный комитет по ценовой политике Республики Саха (Якутия)</v>
      </c>
      <c r="AC30" s="2257"/>
      <c r="AD30" s="2257"/>
      <c r="AE30" s="2257"/>
      <c r="AF30" s="2257"/>
      <c r="AG30" s="2257"/>
      <c r="AH30" s="2257"/>
      <c r="AI30" s="2257"/>
      <c r="AJ30" s="2257"/>
      <c r="AK30" s="2257"/>
      <c r="AL30" s="2257"/>
      <c r="AM30" s="2257"/>
      <c r="AN30" s="2257"/>
      <c r="AO30" s="2257"/>
      <c r="AP30" s="2257"/>
      <c r="AQ30" s="2257"/>
      <c r="AR30" s="2257"/>
      <c r="AS30" s="332"/>
      <c r="AT30" s="332"/>
      <c r="AU30" s="286"/>
      <c r="AV30" s="374"/>
      <c r="AW30" s="374"/>
      <c r="AX30" s="374"/>
      <c r="AY30" s="374"/>
      <c r="AZ30" s="374"/>
      <c r="BA30" s="424">
        <v>0</v>
      </c>
    </row>
    <row s="1859" customFormat="1" customHeight="1" ht="18.75">
      <c r="A31" s="1374"/>
      <c r="B31" s="1374"/>
      <c r="C31" s="1374"/>
      <c r="D31" s="1374"/>
      <c r="E31" s="1374"/>
      <c r="F31" s="1374"/>
      <c r="G31" s="1374"/>
      <c r="H31" s="1374"/>
      <c r="I31" s="1374"/>
      <c r="J31" s="1374"/>
      <c r="K31" s="1374"/>
      <c r="L31" s="1375"/>
      <c r="M31" s="1374"/>
      <c r="N31" s="1374"/>
      <c r="O31" s="1374"/>
      <c r="P31" s="1374"/>
      <c r="Q31" s="1374"/>
      <c r="S31" s="2256" t="s">
        <v>437</v>
      </c>
      <c r="T31" s="2256"/>
      <c r="U31" s="1378"/>
      <c r="V31" s="2270" t="str">
        <f>IF(TITLE_DATE_PR_CHANGE="",IF(TITLE_DATE_PR="","",TITLE_DATE_PR),TITLE_DATE_PR_CHANGE)</f>
        <v>46003.502546296295</v>
      </c>
      <c r="W31" s="2270"/>
      <c r="X31" s="2270"/>
      <c r="Y31" s="2270"/>
      <c r="Z31" s="2270"/>
      <c r="AA31" s="332"/>
      <c r="AB31" s="2270" t="str">
        <f>IF(TITLE_DATE_PR_CHANGE="",IF(TITLE_DATE_PR="","",TITLE_DATE_PR),TITLE_DATE_PR_CHANGE)</f>
        <v>46003.502546296295</v>
      </c>
      <c r="AC31" s="2270"/>
      <c r="AD31" s="2270"/>
      <c r="AE31" s="2270"/>
      <c r="AF31" s="2270"/>
      <c r="AG31" s="2270"/>
      <c r="AH31" s="2270"/>
      <c r="AI31" s="2270"/>
      <c r="AJ31" s="2270"/>
      <c r="AK31" s="2270"/>
      <c r="AL31" s="2270"/>
      <c r="AM31" s="2270"/>
      <c r="AN31" s="2270"/>
      <c r="AO31" s="2270"/>
      <c r="AP31" s="2270"/>
      <c r="AQ31" s="2270"/>
      <c r="AR31" s="2270"/>
      <c r="AS31" s="332"/>
      <c r="AT31" s="332"/>
      <c r="AU31" s="286"/>
      <c r="AV31" s="374"/>
      <c r="AW31" s="374"/>
      <c r="AX31" s="374"/>
      <c r="AY31" s="374"/>
      <c r="AZ31" s="374"/>
      <c r="BA31" s="424">
        <v>0</v>
      </c>
    </row>
    <row s="1859" customFormat="1" customHeight="1" ht="18.75">
      <c r="A32" s="1374"/>
      <c r="B32" s="1374"/>
      <c r="C32" s="1374"/>
      <c r="D32" s="1374"/>
      <c r="E32" s="1374"/>
      <c r="F32" s="1374"/>
      <c r="G32" s="1374"/>
      <c r="H32" s="1374"/>
      <c r="I32" s="1374"/>
      <c r="J32" s="1374"/>
      <c r="K32" s="1374"/>
      <c r="L32" s="1375"/>
      <c r="M32" s="1374"/>
      <c r="N32" s="1374"/>
      <c r="O32" s="1374"/>
      <c r="P32" s="1374"/>
      <c r="Q32" s="1374"/>
      <c r="S32" s="2256" t="s">
        <v>438</v>
      </c>
      <c r="T32" s="2256"/>
      <c r="U32" s="1378"/>
      <c r="V32" s="2257" t="str">
        <f>IF(TITLE_NUMBER_PR_CHANGE="",IF(TITLE_NUMBER_PR="","",TITLE_NUMBER_PR),TITLE_NUMBER_PR_CHANGE)</f>
        <v>№ 222</v>
      </c>
      <c r="W32" s="2257"/>
      <c r="X32" s="2257"/>
      <c r="Y32" s="2257"/>
      <c r="Z32" s="2257"/>
      <c r="AA32" s="332"/>
      <c r="AB32" s="2257" t="str">
        <f>IF(TITLE_NUMBER_PR_CHANGE="",IF(TITLE_NUMBER_PR="","",TITLE_NUMBER_PR),TITLE_NUMBER_PR_CHANGE)</f>
        <v>№ 222</v>
      </c>
      <c r="AC32" s="2257"/>
      <c r="AD32" s="2257"/>
      <c r="AE32" s="2257"/>
      <c r="AF32" s="2257"/>
      <c r="AG32" s="2257"/>
      <c r="AH32" s="2257"/>
      <c r="AI32" s="2257"/>
      <c r="AJ32" s="2257"/>
      <c r="AK32" s="2257"/>
      <c r="AL32" s="2257"/>
      <c r="AM32" s="2257"/>
      <c r="AN32" s="2257"/>
      <c r="AO32" s="2257"/>
      <c r="AP32" s="2257"/>
      <c r="AQ32" s="2257"/>
      <c r="AR32" s="2257"/>
      <c r="AS32" s="332"/>
      <c r="AT32" s="332"/>
      <c r="AU32" s="286"/>
      <c r="AV32" s="374"/>
      <c r="AW32" s="374"/>
      <c r="AX32" s="374"/>
      <c r="AY32" s="374"/>
      <c r="AZ32" s="374"/>
      <c r="BA32" s="424">
        <v>0</v>
      </c>
    </row>
    <row s="1859" customFormat="1" customHeight="1" ht="18.75">
      <c r="A33" s="1374"/>
      <c r="B33" s="1374"/>
      <c r="C33" s="1374"/>
      <c r="D33" s="1374"/>
      <c r="E33" s="1374"/>
      <c r="F33" s="1374"/>
      <c r="G33" s="1374"/>
      <c r="H33" s="1374"/>
      <c r="I33" s="1374"/>
      <c r="J33" s="1374"/>
      <c r="K33" s="1374"/>
      <c r="L33" s="1375"/>
      <c r="M33" s="1374"/>
      <c r="N33" s="1374"/>
      <c r="O33" s="1374"/>
      <c r="P33" s="1374"/>
      <c r="Q33" s="1374"/>
      <c r="S33" s="2256" t="s">
        <v>44</v>
      </c>
      <c r="T33" s="2256"/>
      <c r="U33" s="1378"/>
      <c r="V33" s="2257" t="str">
        <f>IF(TITLE_IST_PUB_CHANGE="",IF(TITLE_IST_PUB="","",TITLE_IST_PUB),TITLE_IST_PUB_CHANGE)</f>
        <v>Официальный интернет-портал правовой информации http://pravo.gov.ru/ </v>
      </c>
      <c r="W33" s="2257"/>
      <c r="X33" s="2257"/>
      <c r="Y33" s="2257"/>
      <c r="Z33" s="2257"/>
      <c r="AA33" s="332"/>
      <c r="AB33" s="2257" t="str">
        <f>IF(TITLE_IST_PUB_CHANGE="",IF(TITLE_IST_PUB="","",TITLE_IST_PUB),TITLE_IST_PUB_CHANGE)</f>
        <v>Официальный интернет-портал правовой информации http://pravo.gov.ru/ </v>
      </c>
      <c r="AC33" s="2257"/>
      <c r="AD33" s="2257"/>
      <c r="AE33" s="2257"/>
      <c r="AF33" s="2257"/>
      <c r="AG33" s="2257"/>
      <c r="AH33" s="2257"/>
      <c r="AI33" s="2257"/>
      <c r="AJ33" s="2257"/>
      <c r="AK33" s="2257"/>
      <c r="AL33" s="2257"/>
      <c r="AM33" s="2257"/>
      <c r="AN33" s="2257"/>
      <c r="AO33" s="2257"/>
      <c r="AP33" s="2257"/>
      <c r="AQ33" s="2257"/>
      <c r="AR33" s="2257"/>
      <c r="AS33" s="332"/>
      <c r="AT33" s="332"/>
      <c r="AU33" s="286"/>
      <c r="AV33" s="374"/>
      <c r="AW33" s="374"/>
      <c r="AX33" s="374"/>
      <c r="AY33" s="374"/>
      <c r="AZ33" s="374"/>
      <c r="BA33" s="424">
        <v>0</v>
      </c>
    </row>
    <row customHeight="1" ht="14.25" hidden="1">
      <c r="Q34" s="297"/>
      <c r="R34" s="382"/>
      <c r="S34" s="1281"/>
      <c r="T34" s="369"/>
      <c r="U34" s="369"/>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515"/>
      <c r="BA34" s="1161">
        <v>0</v>
      </c>
    </row>
    <row s="1859" customFormat="1" customHeight="1" ht="18.75" hidden="1">
      <c r="A35" s="1374"/>
      <c r="B35" s="1374"/>
      <c r="C35" s="1374"/>
      <c r="D35" s="1374"/>
      <c r="E35" s="1374"/>
      <c r="F35" s="1374"/>
      <c r="G35" s="1374"/>
      <c r="H35" s="1374"/>
      <c r="I35" s="1374"/>
      <c r="J35" s="1374"/>
      <c r="K35" s="1374"/>
      <c r="L35" s="1375"/>
      <c r="M35" s="1374"/>
      <c r="N35" s="1374"/>
      <c r="O35" s="1374"/>
      <c r="P35" s="1374"/>
      <c r="Q35" s="1374"/>
      <c r="S35" s="2256" t="s">
        <v>437</v>
      </c>
      <c r="T35" s="2256"/>
      <c r="U35" s="1378"/>
      <c r="V35" s="2270" t="str">
        <f>IF(TITLE_DATE_PR_CHANGE="",IF(TITLE_DATE_PR="","",TITLE_DATE_PR),TITLE_DATE_PR_CHANGE)</f>
        <v>46003.502546296295</v>
      </c>
      <c r="W35" s="2270"/>
      <c r="X35" s="2270"/>
      <c r="Y35" s="2270"/>
      <c r="Z35" s="2270"/>
      <c r="AA35" s="332"/>
      <c r="AB35" s="2270" t="str">
        <f>IF(TITLE_DATE_PR_CHANGE="",IF(TITLE_DATE_PR="","",TITLE_DATE_PR),TITLE_DATE_PR_CHANGE)</f>
        <v>46003.502546296295</v>
      </c>
      <c r="AC35" s="2270"/>
      <c r="AD35" s="2270"/>
      <c r="AE35" s="2270"/>
      <c r="AF35" s="2270"/>
      <c r="AG35" s="2270"/>
      <c r="AH35" s="2270"/>
      <c r="AI35" s="2270"/>
      <c r="AJ35" s="2270"/>
      <c r="AK35" s="2270"/>
      <c r="AL35" s="2270"/>
      <c r="AM35" s="2270"/>
      <c r="AN35" s="2270"/>
      <c r="AO35" s="2270"/>
      <c r="AP35" s="2270"/>
      <c r="AQ35" s="2270"/>
      <c r="AR35" s="2270"/>
      <c r="AS35" s="332"/>
      <c r="AT35" s="332"/>
      <c r="AU35" s="286"/>
      <c r="AV35" s="374"/>
      <c r="AW35" s="374"/>
      <c r="AX35" s="374"/>
      <c r="AY35" s="374"/>
      <c r="AZ35" s="374"/>
      <c r="BA35" s="424">
        <v>0</v>
      </c>
    </row>
    <row s="1859" customFormat="1" customHeight="1" ht="18" hidden="1">
      <c r="A36" s="1374"/>
      <c r="B36" s="1374"/>
      <c r="C36" s="1374"/>
      <c r="D36" s="1374"/>
      <c r="E36" s="1374"/>
      <c r="F36" s="1374"/>
      <c r="G36" s="1374"/>
      <c r="H36" s="1374"/>
      <c r="I36" s="1374"/>
      <c r="J36" s="1374"/>
      <c r="K36" s="1374"/>
      <c r="L36" s="1375"/>
      <c r="M36" s="1374"/>
      <c r="N36" s="1374"/>
      <c r="O36" s="1374"/>
      <c r="P36" s="1374"/>
      <c r="Q36" s="1374"/>
      <c r="S36" s="2256" t="s">
        <v>438</v>
      </c>
      <c r="T36" s="2256"/>
      <c r="U36" s="1378"/>
      <c r="V36" s="2257" t="str">
        <f>IF(TITLE_NUMBER_PR_CHANGE="",IF(TITLE_NUMBER_PR="","",TITLE_NUMBER_PR),TITLE_NUMBER_PR_CHANGE)</f>
        <v>№ 222</v>
      </c>
      <c r="W36" s="2257"/>
      <c r="X36" s="2257"/>
      <c r="Y36" s="2257"/>
      <c r="Z36" s="2257"/>
      <c r="AA36" s="332"/>
      <c r="AB36" s="2257" t="str">
        <f>IF(TITLE_NUMBER_PR_CHANGE="",IF(TITLE_NUMBER_PR="","",TITLE_NUMBER_PR),TITLE_NUMBER_PR_CHANGE)</f>
        <v>№ 222</v>
      </c>
      <c r="AC36" s="2257"/>
      <c r="AD36" s="2257"/>
      <c r="AE36" s="2257"/>
      <c r="AF36" s="2257"/>
      <c r="AG36" s="2257"/>
      <c r="AH36" s="2257"/>
      <c r="AI36" s="2257"/>
      <c r="AJ36" s="2257"/>
      <c r="AK36" s="2257"/>
      <c r="AL36" s="2257"/>
      <c r="AM36" s="2257"/>
      <c r="AN36" s="2257"/>
      <c r="AO36" s="2257"/>
      <c r="AP36" s="2257"/>
      <c r="AQ36" s="2257"/>
      <c r="AR36" s="2257"/>
      <c r="AS36" s="332"/>
      <c r="AT36" s="332"/>
      <c r="AU36" s="286"/>
      <c r="AV36" s="374"/>
      <c r="AW36" s="374"/>
      <c r="AX36" s="374"/>
      <c r="AY36" s="374"/>
      <c r="AZ36" s="374"/>
      <c r="BA36" s="424">
        <v>0</v>
      </c>
    </row>
    <row s="1859" customFormat="1" customHeight="1" ht="1.05">
      <c r="A37" s="1374"/>
      <c r="B37" s="1374"/>
      <c r="C37" s="1374"/>
      <c r="D37" s="1374"/>
      <c r="E37" s="1374"/>
      <c r="F37" s="1374"/>
      <c r="G37" s="1374"/>
      <c r="H37" s="1374"/>
      <c r="I37" s="1374"/>
      <c r="J37" s="1374"/>
      <c r="K37" s="1374"/>
      <c r="L37" s="1375"/>
      <c r="M37" s="1374"/>
      <c r="N37" s="1374"/>
      <c r="O37" s="1374"/>
      <c r="P37" s="1374"/>
      <c r="Q37" s="1374"/>
      <c r="S37" s="329"/>
      <c r="T37" s="329"/>
      <c r="U37" s="1346"/>
      <c r="V37" s="332"/>
      <c r="W37" s="332"/>
      <c r="X37" s="332"/>
      <c r="Y37" s="332"/>
      <c r="Z37" s="332"/>
      <c r="AA37" s="284" t="s">
        <v>441</v>
      </c>
      <c r="AB37" s="332"/>
      <c r="AC37" s="332"/>
      <c r="AD37" s="332"/>
      <c r="AE37" s="332"/>
      <c r="AF37" s="332"/>
      <c r="AG37" s="332"/>
      <c r="AH37" s="332"/>
      <c r="AI37" s="332"/>
      <c r="AJ37" s="332"/>
      <c r="AK37" s="332"/>
      <c r="AL37" s="332"/>
      <c r="AM37" s="332"/>
      <c r="AN37" s="332"/>
      <c r="AO37" s="332"/>
      <c r="AP37" s="332"/>
      <c r="AQ37" s="332"/>
      <c r="AR37" s="332"/>
      <c r="AS37" s="284" t="s">
        <v>441</v>
      </c>
      <c r="AV37" s="374"/>
      <c r="AW37" s="374"/>
      <c r="AX37" s="374"/>
      <c r="AY37" s="374"/>
      <c r="AZ37" s="374"/>
      <c r="BA37" s="424">
        <v>1</v>
      </c>
    </row>
    <row customHeight="1" ht="14.699999999999998">
      <c r="Q38" s="297"/>
      <c r="R38" s="382"/>
      <c r="S38" s="1281"/>
      <c r="T38" s="369"/>
      <c r="U38" s="1250"/>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c r="AS38" s="2258"/>
      <c r="BA38" s="1161">
        <v>14</v>
      </c>
    </row>
    <row customHeight="1" ht="14.699999999999998">
      <c r="Q39" s="297"/>
      <c r="R39" s="382"/>
      <c r="S39" s="2133" t="s">
        <v>316</v>
      </c>
      <c r="T39" s="2133"/>
      <c r="U39" s="2133"/>
      <c r="V39" s="2133"/>
      <c r="W39" s="2133"/>
      <c r="X39" s="2133"/>
      <c r="Y39" s="2133"/>
      <c r="Z39" s="2133"/>
      <c r="AA39" s="2133"/>
      <c r="AB39" s="2181"/>
      <c r="AC39" s="2181"/>
      <c r="AD39" s="2181"/>
      <c r="AE39" s="2181"/>
      <c r="AF39" s="2133"/>
      <c r="AG39" s="2133"/>
      <c r="AH39" s="2133"/>
      <c r="AI39" s="2133"/>
      <c r="AJ39" s="2133"/>
      <c r="AK39" s="2133"/>
      <c r="AL39" s="2133"/>
      <c r="AM39" s="2133"/>
      <c r="AN39" s="2133"/>
      <c r="AO39" s="2133"/>
      <c r="AP39" s="2133"/>
      <c r="AQ39" s="2133"/>
      <c r="AR39" s="2133"/>
      <c r="AS39" s="2133"/>
      <c r="AT39" s="2133"/>
      <c r="AU39" s="2133" t="s">
        <v>317</v>
      </c>
      <c r="BA39" s="1161">
        <v>14</v>
      </c>
    </row>
    <row customHeight="1" ht="14.699999999999998">
      <c r="Q40" s="297"/>
      <c r="R40" s="382"/>
      <c r="S40" s="2279" t="s">
        <v>89</v>
      </c>
      <c r="T40" s="2215" t="s">
        <v>486</v>
      </c>
      <c r="U40" s="307"/>
      <c r="V40" s="2281"/>
      <c r="W40" s="2281"/>
      <c r="X40" s="2281"/>
      <c r="Y40" s="2281"/>
      <c r="Z40" s="2282"/>
      <c r="AA40" s="2342" t="s">
        <v>444</v>
      </c>
      <c r="AB40" s="2334" t="s">
        <v>487</v>
      </c>
      <c r="AC40" s="2297"/>
      <c r="AD40" s="2297"/>
      <c r="AE40" s="2335"/>
      <c r="AF40" s="2297" t="s">
        <v>488</v>
      </c>
      <c r="AG40" s="2297"/>
      <c r="AH40" s="2297"/>
      <c r="AI40" s="2335"/>
      <c r="AJ40" s="2334" t="s">
        <v>489</v>
      </c>
      <c r="AK40" s="2297"/>
      <c r="AL40" s="2297"/>
      <c r="AM40" s="2335"/>
      <c r="AN40" s="2334" t="s">
        <v>443</v>
      </c>
      <c r="AO40" s="2297"/>
      <c r="AP40" s="2281"/>
      <c r="AQ40" s="2281"/>
      <c r="AR40" s="2282"/>
      <c r="AS40" s="2283" t="s">
        <v>444</v>
      </c>
      <c r="AT40" s="2286" t="s">
        <v>446</v>
      </c>
      <c r="AU40" s="2133"/>
      <c r="BA40" s="1161">
        <v>14</v>
      </c>
    </row>
    <row customHeight="1" ht="35.699999999999996">
      <c r="Q41" s="297"/>
      <c r="R41" s="382"/>
      <c r="S41" s="2279"/>
      <c r="T41" s="2215"/>
      <c r="U41" s="1037"/>
      <c r="V41" s="2133" t="s">
        <v>490</v>
      </c>
      <c r="W41" s="2133"/>
      <c r="X41" s="2300" t="s">
        <v>450</v>
      </c>
      <c r="Y41" s="2319"/>
      <c r="Z41" s="2320"/>
      <c r="AA41" s="2343"/>
      <c r="AB41" s="2336"/>
      <c r="AC41" s="2337"/>
      <c r="AD41" s="2337"/>
      <c r="AE41" s="2338"/>
      <c r="AF41" s="2337"/>
      <c r="AG41" s="2337"/>
      <c r="AH41" s="2337"/>
      <c r="AI41" s="2338"/>
      <c r="AJ41" s="2336"/>
      <c r="AK41" s="2337"/>
      <c r="AL41" s="2337"/>
      <c r="AM41" s="2337"/>
      <c r="AN41" s="2133" t="s">
        <v>490</v>
      </c>
      <c r="AO41" s="2133"/>
      <c r="AP41" s="2319" t="s">
        <v>450</v>
      </c>
      <c r="AQ41" s="2319"/>
      <c r="AR41" s="2320"/>
      <c r="AS41" s="2284"/>
      <c r="AT41" s="2287"/>
      <c r="AU41" s="2133"/>
      <c r="BA41" s="1161">
        <v>34</v>
      </c>
    </row>
    <row customHeight="1" ht="14.699999999999998">
      <c r="Q42" s="297"/>
      <c r="R42" s="382"/>
      <c r="S42" s="2279"/>
      <c r="T42" s="2215"/>
      <c r="U42" s="1037"/>
      <c r="V42" s="2346" t="str">
        <f>IF($AN$42&lt;&gt;"",$AN$42,"")</f>
        <v/>
      </c>
      <c r="W42" s="2346"/>
      <c r="X42" s="2301"/>
      <c r="Y42" s="2321"/>
      <c r="Z42" s="2322"/>
      <c r="AA42" s="2343"/>
      <c r="AB42" s="2336"/>
      <c r="AC42" s="2337"/>
      <c r="AD42" s="2337"/>
      <c r="AE42" s="2338"/>
      <c r="AF42" s="2337"/>
      <c r="AG42" s="2337"/>
      <c r="AH42" s="2337"/>
      <c r="AI42" s="2338"/>
      <c r="AJ42" s="2336"/>
      <c r="AK42" s="2337"/>
      <c r="AL42" s="2337"/>
      <c r="AM42" s="2337"/>
      <c r="AN42" s="2345"/>
      <c r="AO42" s="2345"/>
      <c r="AP42" s="2321"/>
      <c r="AQ42" s="2321"/>
      <c r="AR42" s="2322"/>
      <c r="AS42" s="2284"/>
      <c r="AT42" s="2287"/>
      <c r="AU42" s="2133"/>
      <c r="BA42" s="1161">
        <v>14</v>
      </c>
    </row>
    <row customHeight="1" ht="14.699999999999998">
      <c r="A43" s="1376"/>
      <c r="B43" s="1376" t="s">
        <v>137</v>
      </c>
      <c r="C43" s="1376" t="s">
        <v>138</v>
      </c>
      <c r="D43" s="1376" t="s">
        <v>139</v>
      </c>
      <c r="E43" s="1370" t="s">
        <v>451</v>
      </c>
      <c r="F43" s="1370" t="s">
        <v>452</v>
      </c>
      <c r="G43" s="1370" t="s">
        <v>453</v>
      </c>
      <c r="H43" s="1370" t="s">
        <v>454</v>
      </c>
      <c r="I43" s="1370" t="s">
        <v>455</v>
      </c>
      <c r="J43" s="1370" t="s">
        <v>456</v>
      </c>
      <c r="K43" s="1370" t="s">
        <v>457</v>
      </c>
      <c r="L43" s="1370" t="s">
        <v>432</v>
      </c>
      <c r="Q43" s="297"/>
      <c r="R43" s="382"/>
      <c r="S43" s="2279"/>
      <c r="T43" s="2215"/>
      <c r="U43" s="308"/>
      <c r="V43" s="1336" t="s">
        <v>491</v>
      </c>
      <c r="W43" s="1336" t="s">
        <v>492</v>
      </c>
      <c r="X43" s="1344" t="s">
        <v>460</v>
      </c>
      <c r="Y43" s="2276" t="s">
        <v>461</v>
      </c>
      <c r="Z43" s="2277"/>
      <c r="AA43" s="2344"/>
      <c r="AB43" s="2339"/>
      <c r="AC43" s="2340"/>
      <c r="AD43" s="2340"/>
      <c r="AE43" s="2341"/>
      <c r="AF43" s="2340"/>
      <c r="AG43" s="2340"/>
      <c r="AH43" s="2340"/>
      <c r="AI43" s="2341"/>
      <c r="AJ43" s="2339"/>
      <c r="AK43" s="2340"/>
      <c r="AL43" s="2340"/>
      <c r="AM43" s="2341"/>
      <c r="AN43" s="1866" t="s">
        <v>491</v>
      </c>
      <c r="AO43" s="1866" t="s">
        <v>492</v>
      </c>
      <c r="AP43" s="1344" t="s">
        <v>460</v>
      </c>
      <c r="AQ43" s="2276" t="s">
        <v>461</v>
      </c>
      <c r="AR43" s="2277"/>
      <c r="AS43" s="2285"/>
      <c r="AT43" s="2288"/>
      <c r="AU43" s="2133"/>
      <c r="BA43" s="1161">
        <v>14</v>
      </c>
    </row>
    <row s="1647" customFormat="1" customHeight="1" ht="11.25" hidden="1">
      <c r="A44" s="1376"/>
      <c r="B44" s="1376"/>
      <c r="C44" s="1376"/>
      <c r="D44" s="1376"/>
      <c r="E44" s="1376"/>
      <c r="F44" s="1376"/>
      <c r="G44" s="1376"/>
      <c r="H44" s="1376"/>
      <c r="I44" s="1376"/>
      <c r="J44" s="1376"/>
      <c r="K44" s="1376"/>
      <c r="L44" s="1370"/>
      <c r="M44" s="1368"/>
      <c r="N44" s="1368"/>
      <c r="O44" s="1368"/>
      <c r="P44" s="516"/>
      <c r="Q44" s="1260"/>
      <c r="R44" s="1260">
        <v>1</v>
      </c>
      <c r="S44" s="1283" t="s">
        <v>111</v>
      </c>
      <c r="T44" s="1261" t="s">
        <v>112</v>
      </c>
      <c r="U44" s="1251" t="str">
        <f>OFFSET(U44,0,-1)</f>
        <v>2</v>
      </c>
      <c r="V44" s="1341">
        <f>OFFSET(V44,0,-1)+1</f>
        <v>3</v>
      </c>
      <c r="W44" s="1341">
        <f>OFFSET(W44,0,-1)+1</f>
        <v>4</v>
      </c>
      <c r="X44" s="1341">
        <f>OFFSET(X44,0,-1)+1</f>
        <v>5</v>
      </c>
      <c r="Y44" s="2278">
        <f>OFFSET(Y44,0,-1)+1</f>
        <v>6</v>
      </c>
      <c r="Z44" s="2278"/>
      <c r="AA44" s="1341">
        <f>OFFSET(AA44,0,-2)+1</f>
        <v>7</v>
      </c>
      <c r="AB44" s="1347">
        <f>OFFSET(AB44,0,-1)+1</f>
        <v>8</v>
      </c>
      <c r="AC44" s="1347"/>
      <c r="AD44" s="1347"/>
      <c r="AE44" s="1347"/>
      <c r="AF44" s="1341"/>
      <c r="AG44" s="1341"/>
      <c r="AH44" s="1341"/>
      <c r="AI44" s="1341"/>
      <c r="AJ44" s="1341"/>
      <c r="AK44" s="1341"/>
      <c r="AL44" s="1341"/>
      <c r="AM44" s="1341"/>
      <c r="AN44" s="1341">
        <f>OFFSET(AN44,0,-1)+1</f>
        <v>1</v>
      </c>
      <c r="AO44" s="1341">
        <f>OFFSET(AO44,0,-1)+1</f>
        <v>2</v>
      </c>
      <c r="AP44" s="1341">
        <f>OFFSET(AP44,0,-1)+1</f>
        <v>3</v>
      </c>
      <c r="AQ44" s="2278">
        <f>OFFSET(AQ44,0,-1)+1</f>
        <v>4</v>
      </c>
      <c r="AR44" s="2278"/>
      <c r="AS44" s="1341">
        <f>OFFSET(AS44,0,-2)+1</f>
        <v>5</v>
      </c>
      <c r="AT44" s="1251">
        <f>OFFSET(AT44,0,-1)</f>
        <v>5</v>
      </c>
      <c r="AU44" s="1341">
        <f>OFFSET(AU44,0,-1)+1</f>
        <v>6</v>
      </c>
      <c r="AV44" s="517"/>
      <c r="AW44" s="517"/>
      <c r="AX44" s="517"/>
      <c r="AY44" s="517"/>
      <c r="AZ44" s="517"/>
      <c r="BA44" s="502">
        <v>0</v>
      </c>
    </row>
    <row customHeight="1" ht="107.25">
      <c r="A45" s="1369" t="s">
        <v>200</v>
      </c>
      <c r="B45" s="1369"/>
      <c r="C45" s="1369"/>
      <c r="D45" s="1369"/>
      <c r="E45" s="2264">
        <v>1</v>
      </c>
      <c r="F45" s="1369"/>
      <c r="G45" s="1369"/>
      <c r="H45" s="1369"/>
      <c r="I45" s="1369"/>
      <c r="J45" s="1369"/>
      <c r="K45" s="1369"/>
      <c r="L45" s="1370"/>
      <c r="M45" s="1371"/>
      <c r="N45" s="1371"/>
      <c r="O45" s="1371"/>
      <c r="P45" s="1415"/>
      <c r="Q45" s="879"/>
      <c r="R45" s="361"/>
      <c r="S45" s="1342">
        <f>INDEX(PT_DIFFERENTIATION_NUM_NTAR,MATCH(A45,PT_DIFFERENTIATION_NTAR_ID,0))</f>
        <v>0</v>
      </c>
      <c r="T45" s="304" t="s">
        <v>125</v>
      </c>
      <c r="U45" s="306"/>
      <c r="V45" s="2249"/>
      <c r="W45" s="2249"/>
      <c r="X45" s="2249"/>
      <c r="Y45" s="2249"/>
      <c r="Z45" s="2249"/>
      <c r="AA45" s="2250"/>
      <c r="AB45" s="2248" t="str">
        <f>INDEX(PT_DIFFERENTIATION_NTAR,MATCH(A45,PT_DIFFERENTIATION_NTAR_ID,0))</f>
        <v/>
      </c>
      <c r="AC45" s="2249"/>
      <c r="AD45" s="2249"/>
      <c r="AE45" s="2249"/>
      <c r="AF45" s="2249"/>
      <c r="AG45" s="2249"/>
      <c r="AH45" s="2249"/>
      <c r="AI45" s="2249"/>
      <c r="AJ45" s="2249"/>
      <c r="AK45" s="2249"/>
      <c r="AL45" s="2249"/>
      <c r="AM45" s="2249"/>
      <c r="AN45" s="2249"/>
      <c r="AO45" s="2249"/>
      <c r="AP45" s="2249"/>
      <c r="AQ45" s="2249"/>
      <c r="AR45" s="2249"/>
      <c r="AS45" s="2249"/>
      <c r="AT45" s="2250"/>
      <c r="AU45"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506"/>
      <c r="AX45" s="506" t="str">
        <f>IF(T45="","",T45)</f>
        <v>Наименование тарифа</v>
      </c>
      <c r="AY45" s="506"/>
      <c r="AZ45" s="506"/>
      <c r="BA45" s="1161">
        <v>102</v>
      </c>
    </row>
    <row customHeight="1" ht="22.049999999999997">
      <c r="A46" s="1369" t="s">
        <v>200</v>
      </c>
      <c r="B46" s="1369" t="s">
        <v>201</v>
      </c>
      <c r="C46" s="1369"/>
      <c r="D46" s="1369"/>
      <c r="E46" s="2265"/>
      <c r="F46" s="2264">
        <v>1</v>
      </c>
      <c r="G46" s="1369"/>
      <c r="H46" s="1369"/>
      <c r="I46" s="1369"/>
      <c r="J46" s="1369"/>
      <c r="K46" s="1369"/>
      <c r="L46" s="1370"/>
      <c r="M46" s="1371"/>
      <c r="N46" s="1371"/>
      <c r="O46" s="1371"/>
      <c r="P46" s="1416"/>
      <c r="Q46" s="1417"/>
      <c r="R46" s="359"/>
      <c r="S46" s="1342" t="str">
        <f>INDEX(PT_DIFFERENTIATION_NUM_TER,MATCH(B46,PT_DIFFERENTIATION_TER_ID,0))</f>
        <v>.</v>
      </c>
      <c r="T46" s="314" t="s">
        <v>413</v>
      </c>
      <c r="U46" s="306"/>
      <c r="V46" s="2249"/>
      <c r="W46" s="2249"/>
      <c r="X46" s="2249"/>
      <c r="Y46" s="2249"/>
      <c r="Z46" s="2249"/>
      <c r="AA46" s="2250"/>
      <c r="AB46" s="2248" t="str">
        <f>INDEX(PT_DIFFERENTIATION_TER,MATCH(B46,PT_DIFFERENTIATION_TER_ID,0))</f>
        <v/>
      </c>
      <c r="AC46" s="2249"/>
      <c r="AD46" s="2249"/>
      <c r="AE46" s="2249"/>
      <c r="AF46" s="2249"/>
      <c r="AG46" s="2249"/>
      <c r="AH46" s="2249"/>
      <c r="AI46" s="2249"/>
      <c r="AJ46" s="2249"/>
      <c r="AK46" s="2249"/>
      <c r="AL46" s="2249"/>
      <c r="AM46" s="2249"/>
      <c r="AN46" s="2249"/>
      <c r="AO46" s="2249"/>
      <c r="AP46" s="2249"/>
      <c r="AQ46" s="2249"/>
      <c r="AR46" s="2249"/>
      <c r="AS46" s="2249"/>
      <c r="AT46" s="2250"/>
      <c r="AU46" s="1264" t="s">
        <v>414</v>
      </c>
      <c r="AW46" s="506"/>
      <c r="AX46" s="506" t="str">
        <f>IF(T46="","",T46)</f>
        <v>Территория действия тарифа</v>
      </c>
      <c r="AY46" s="506"/>
      <c r="AZ46" s="506"/>
      <c r="BA46" s="1161">
        <v>21</v>
      </c>
    </row>
    <row customHeight="1" ht="24">
      <c r="A47" s="1369" t="s">
        <v>200</v>
      </c>
      <c r="B47" s="1369" t="s">
        <v>201</v>
      </c>
      <c r="C47" s="1369" t="s">
        <v>202</v>
      </c>
      <c r="D47" s="1369"/>
      <c r="E47" s="2265"/>
      <c r="F47" s="2265"/>
      <c r="G47" s="2264">
        <v>1</v>
      </c>
      <c r="H47" s="1369"/>
      <c r="I47" s="1369"/>
      <c r="J47" s="1369"/>
      <c r="K47" s="1369"/>
      <c r="L47" s="1370"/>
      <c r="M47" s="1371"/>
      <c r="N47" s="1371"/>
      <c r="O47" s="1371"/>
      <c r="P47" s="1418"/>
      <c r="Q47" s="1417"/>
      <c r="R47" s="359"/>
      <c r="S47" s="1342" t="str">
        <f>INDEX(PT_DIFFERENTIATION_NUM_CS,MATCH(C47,PT_DIFFERENTIATION_CS_ID,0))</f>
        <v>..</v>
      </c>
      <c r="T47" s="315" t="s">
        <v>415</v>
      </c>
      <c r="U47" s="306"/>
      <c r="V47" s="2249"/>
      <c r="W47" s="2249"/>
      <c r="X47" s="2249"/>
      <c r="Y47" s="2249"/>
      <c r="Z47" s="2249"/>
      <c r="AA47" s="2250"/>
      <c r="AB47" s="2248" t="str">
        <f>INDEX(PT_DIFFERENTIATION_CS,MATCH(C47,PT_DIFFERENTIATION_CS_ID,0))</f>
        <v/>
      </c>
      <c r="AC47" s="2249"/>
      <c r="AD47" s="2249"/>
      <c r="AE47" s="2249"/>
      <c r="AF47" s="2249"/>
      <c r="AG47" s="2249"/>
      <c r="AH47" s="2249"/>
      <c r="AI47" s="2249"/>
      <c r="AJ47" s="2249"/>
      <c r="AK47" s="2249"/>
      <c r="AL47" s="2249"/>
      <c r="AM47" s="2249"/>
      <c r="AN47" s="2249"/>
      <c r="AO47" s="2249"/>
      <c r="AP47" s="2249"/>
      <c r="AQ47" s="2249"/>
      <c r="AR47" s="2249"/>
      <c r="AS47" s="2249"/>
      <c r="AT47" s="2250"/>
      <c r="AU47" s="1264" t="s">
        <v>416</v>
      </c>
      <c r="AW47" s="506"/>
      <c r="AX47" s="506" t="str">
        <f>IF(T47="","",T47)</f>
        <v>Наименование системы теплоснабжения </v>
      </c>
      <c r="AY47" s="506"/>
      <c r="AZ47" s="506"/>
      <c r="BA47" s="1161">
        <v>23</v>
      </c>
    </row>
    <row customHeight="1" ht="21">
      <c r="A48" s="1369" t="s">
        <v>200</v>
      </c>
      <c r="B48" s="1369" t="s">
        <v>201</v>
      </c>
      <c r="C48" s="1369" t="s">
        <v>202</v>
      </c>
      <c r="D48" s="1369" t="s">
        <v>203</v>
      </c>
      <c r="E48" s="2265"/>
      <c r="F48" s="2265"/>
      <c r="G48" s="2265"/>
      <c r="H48" s="2264">
        <v>1</v>
      </c>
      <c r="I48" s="1369"/>
      <c r="J48" s="1369"/>
      <c r="K48" s="1369"/>
      <c r="L48" s="1370"/>
      <c r="M48" s="1371"/>
      <c r="N48" s="1371"/>
      <c r="O48" s="1371"/>
      <c r="P48" s="1418"/>
      <c r="Q48" s="1417"/>
      <c r="R48" s="359"/>
      <c r="S48" s="1342" t="str">
        <f>INDEX(PT_DIFFERENTIATION_NUM_IST_TE,MATCH(D48,PT_DIFFERENTIATION_IST_TE_ID,0))</f>
        <v>...</v>
      </c>
      <c r="T48" s="316" t="s">
        <v>417</v>
      </c>
      <c r="U48" s="306"/>
      <c r="V48" s="2249"/>
      <c r="W48" s="2249"/>
      <c r="X48" s="2249"/>
      <c r="Y48" s="2249"/>
      <c r="Z48" s="2249"/>
      <c r="AA48" s="2250"/>
      <c r="AB48" s="2248" t="str">
        <f>INDEX(PT_DIFFERENTIATION_IST_TE,MATCH(D48,PT_DIFFERENTIATION_IST_TE_ID,0))</f>
        <v/>
      </c>
      <c r="AC48" s="2249"/>
      <c r="AD48" s="2249"/>
      <c r="AE48" s="2249"/>
      <c r="AF48" s="2249"/>
      <c r="AG48" s="2249"/>
      <c r="AH48" s="2249"/>
      <c r="AI48" s="2249"/>
      <c r="AJ48" s="2249"/>
      <c r="AK48" s="2249"/>
      <c r="AL48" s="2249"/>
      <c r="AM48" s="2249"/>
      <c r="AN48" s="2249"/>
      <c r="AO48" s="2249"/>
      <c r="AP48" s="2249"/>
      <c r="AQ48" s="2249"/>
      <c r="AR48" s="2249"/>
      <c r="AS48" s="2249"/>
      <c r="AT48" s="2250"/>
      <c r="AU48" s="1264" t="s">
        <v>418</v>
      </c>
      <c r="AW48" s="506"/>
      <c r="AX48" s="506" t="str">
        <f>IF(T48="","",T48)</f>
        <v>Источник тепловой энергии  </v>
      </c>
      <c r="AY48" s="506"/>
      <c r="AZ48" s="506"/>
      <c r="BA48" s="1161">
        <v>20</v>
      </c>
    </row>
    <row s="1648" customFormat="1" customHeight="1" ht="1.05">
      <c r="A49" s="1349" t="s">
        <v>200</v>
      </c>
      <c r="B49" s="1349" t="s">
        <v>201</v>
      </c>
      <c r="C49" s="1349" t="s">
        <v>202</v>
      </c>
      <c r="D49" s="1349" t="s">
        <v>203</v>
      </c>
      <c r="E49" s="2265"/>
      <c r="F49" s="2265"/>
      <c r="G49" s="2265"/>
      <c r="H49" s="2265"/>
      <c r="I49" s="2262" t="str">
        <f>S48&amp;".1"</f>
        <v>....1</v>
      </c>
      <c r="J49" s="1349"/>
      <c r="K49" s="1349"/>
      <c r="L49" s="1352" t="s">
        <v>419</v>
      </c>
      <c r="M49" s="516"/>
      <c r="N49" s="516"/>
      <c r="O49" s="516"/>
      <c r="P49" s="2263">
        <v>1</v>
      </c>
      <c r="Q49" s="1337"/>
      <c r="R49" s="362"/>
      <c r="S49" s="1048"/>
      <c r="T49" s="1389"/>
      <c r="U49" s="1390"/>
      <c r="V49" s="2303"/>
      <c r="W49" s="2303"/>
      <c r="X49" s="2303"/>
      <c r="Y49" s="2303"/>
      <c r="Z49" s="2303"/>
      <c r="AA49" s="2304"/>
      <c r="AB49" s="2302"/>
      <c r="AC49" s="2303"/>
      <c r="AD49" s="2303"/>
      <c r="AE49" s="2303"/>
      <c r="AF49" s="2303"/>
      <c r="AG49" s="2303"/>
      <c r="AH49" s="2303"/>
      <c r="AI49" s="2303"/>
      <c r="AJ49" s="2303"/>
      <c r="AK49" s="2303"/>
      <c r="AL49" s="2303"/>
      <c r="AM49" s="2303"/>
      <c r="AN49" s="2303"/>
      <c r="AO49" s="2303"/>
      <c r="AP49" s="2303"/>
      <c r="AQ49" s="2303"/>
      <c r="AR49" s="2303"/>
      <c r="AS49" s="2303"/>
      <c r="AT49" s="2304"/>
      <c r="AU49" s="1391"/>
      <c r="AW49" s="506"/>
      <c r="AX49" s="506" t="str">
        <f>IF(T49="","",T49)</f>
        <v/>
      </c>
      <c r="AY49" s="506"/>
      <c r="AZ49" s="506"/>
      <c r="BA49" s="517">
        <v>1</v>
      </c>
    </row>
    <row s="1648" customFormat="1" customHeight="1" ht="1.05">
      <c r="A50" s="1349" t="s">
        <v>200</v>
      </c>
      <c r="B50" s="1349" t="s">
        <v>201</v>
      </c>
      <c r="C50" s="1349" t="s">
        <v>202</v>
      </c>
      <c r="D50" s="1349" t="s">
        <v>203</v>
      </c>
      <c r="E50" s="2265"/>
      <c r="F50" s="2265"/>
      <c r="G50" s="2265"/>
      <c r="H50" s="2265"/>
      <c r="I50" s="2292"/>
      <c r="J50" s="2262" t="str">
        <f>S48&amp;".1"</f>
        <v>....1</v>
      </c>
      <c r="K50" s="1349"/>
      <c r="L50" s="1352"/>
      <c r="M50" s="516"/>
      <c r="N50" s="516"/>
      <c r="O50" s="516"/>
      <c r="P50" s="2263"/>
      <c r="Q50" s="2263">
        <v>1</v>
      </c>
      <c r="R50" s="363"/>
      <c r="S50" s="1048"/>
      <c r="T50" s="1405"/>
      <c r="U50" s="1390"/>
      <c r="V50" s="2303"/>
      <c r="W50" s="2303"/>
      <c r="X50" s="2303"/>
      <c r="Y50" s="2303"/>
      <c r="Z50" s="2303"/>
      <c r="AA50" s="2304"/>
      <c r="AB50" s="2302"/>
      <c r="AC50" s="2303"/>
      <c r="AD50" s="2303"/>
      <c r="AE50" s="2303"/>
      <c r="AF50" s="2303"/>
      <c r="AG50" s="2303"/>
      <c r="AH50" s="2303"/>
      <c r="AI50" s="2303"/>
      <c r="AJ50" s="2303"/>
      <c r="AK50" s="2303"/>
      <c r="AL50" s="2303"/>
      <c r="AM50" s="2303"/>
      <c r="AN50" s="2303"/>
      <c r="AO50" s="2303"/>
      <c r="AP50" s="2303"/>
      <c r="AQ50" s="2303"/>
      <c r="AR50" s="2303"/>
      <c r="AS50" s="2303"/>
      <c r="AT50" s="2304"/>
      <c r="AU50" s="1391"/>
      <c r="AW50" s="506"/>
      <c r="AX50" s="506" t="str">
        <f>IF(T50="","",T50)</f>
        <v/>
      </c>
      <c r="AY50" s="506"/>
      <c r="AZ50" s="506"/>
      <c r="BA50" s="517">
        <v>1</v>
      </c>
    </row>
    <row customHeight="1" ht="22.049999999999997">
      <c r="A51" s="1369" t="s">
        <v>200</v>
      </c>
      <c r="B51" s="1369" t="s">
        <v>201</v>
      </c>
      <c r="C51" s="1369" t="s">
        <v>202</v>
      </c>
      <c r="D51" s="1369" t="s">
        <v>203</v>
      </c>
      <c r="E51" s="2265"/>
      <c r="F51" s="2265"/>
      <c r="G51" s="2265"/>
      <c r="H51" s="2265"/>
      <c r="I51" s="2292"/>
      <c r="J51" s="2292"/>
      <c r="K51" s="2262" t="str">
        <f>S48&amp;".1"</f>
        <v>....1</v>
      </c>
      <c r="L51" s="1370"/>
      <c r="P51" s="2263"/>
      <c r="Q51" s="2263"/>
      <c r="R51" s="363">
        <v>1</v>
      </c>
      <c r="S51" s="2347" t="str">
        <f>$K51</f>
        <v>....1</v>
      </c>
      <c r="T51" s="2350"/>
      <c r="U51" s="306"/>
      <c r="V51" s="757"/>
      <c r="W51" s="1263"/>
      <c r="X51" s="1740"/>
      <c r="Y51" s="1465" t="s">
        <v>62</v>
      </c>
      <c r="Z51" s="1740"/>
      <c r="AA51" s="1465" t="s">
        <v>62</v>
      </c>
      <c r="AB51" s="2113" t="s">
        <v>19</v>
      </c>
      <c r="AC51" s="2332"/>
      <c r="AD51" s="2211">
        <v>1</v>
      </c>
      <c r="AE51" s="2354" t="s">
        <v>28</v>
      </c>
      <c r="AF51" s="2113" t="s">
        <v>19</v>
      </c>
      <c r="AG51" s="2332"/>
      <c r="AH51" s="2211">
        <v>1</v>
      </c>
      <c r="AI51" s="2354" t="s">
        <v>28</v>
      </c>
      <c r="AJ51" s="2113" t="s">
        <v>19</v>
      </c>
      <c r="AK51" s="317"/>
      <c r="AL51" s="1343">
        <v>1</v>
      </c>
      <c r="AM51" s="1408"/>
      <c r="AN51" s="757"/>
      <c r="AO51" s="1263"/>
      <c r="AP51" s="1740"/>
      <c r="AQ51" s="1465" t="s">
        <v>62</v>
      </c>
      <c r="AR51" s="1740"/>
      <c r="AS51" s="1465" t="s">
        <v>62</v>
      </c>
      <c r="AT51" s="1354"/>
      <c r="AU51" s="2259" t="s">
        <v>493</v>
      </c>
      <c r="AV51" s="517">
        <f>STRCHECKDATE(V54:AT54)</f>
      </c>
      <c r="AW51" s="506"/>
      <c r="AX51" s="506" t="str">
        <f>IF(T51="","",T51)</f>
        <v/>
      </c>
      <c r="AY51" s="506"/>
      <c r="AZ51" s="506"/>
      <c r="BA51" s="1161">
        <v>21</v>
      </c>
    </row>
    <row customHeight="1" ht="11.549999999999999">
      <c r="A52" s="1369" t="s">
        <v>200</v>
      </c>
      <c r="B52" s="1369"/>
      <c r="C52" s="1369"/>
      <c r="D52" s="1369"/>
      <c r="E52" s="2265"/>
      <c r="F52" s="2265"/>
      <c r="G52" s="2265"/>
      <c r="H52" s="2265"/>
      <c r="I52" s="2292"/>
      <c r="J52" s="2292"/>
      <c r="K52" s="2262"/>
      <c r="L52" s="1370"/>
      <c r="P52" s="2263"/>
      <c r="Q52" s="2263"/>
      <c r="R52" s="363"/>
      <c r="S52" s="2348"/>
      <c r="T52" s="2351"/>
      <c r="U52" s="306"/>
      <c r="V52" s="1399"/>
      <c r="W52" s="1502"/>
      <c r="X52" s="1399"/>
      <c r="Y52" s="1399"/>
      <c r="Z52" s="1399"/>
      <c r="AA52" s="1399"/>
      <c r="AB52" s="2113"/>
      <c r="AC52" s="2332"/>
      <c r="AD52" s="2211"/>
      <c r="AE52" s="2354"/>
      <c r="AF52" s="2113"/>
      <c r="AG52" s="2332"/>
      <c r="AH52" s="2211"/>
      <c r="AI52" s="2354"/>
      <c r="AJ52" s="2113"/>
      <c r="AK52" s="322"/>
      <c r="AL52" s="422"/>
      <c r="AM52" s="421" t="s">
        <v>478</v>
      </c>
      <c r="AN52" s="1399"/>
      <c r="AO52" s="1502"/>
      <c r="AP52" s="1399"/>
      <c r="AQ52" s="1399"/>
      <c r="AR52" s="1399"/>
      <c r="AS52" s="1399"/>
      <c r="AT52" s="1396"/>
      <c r="AU52" s="2260"/>
      <c r="AW52" s="506"/>
      <c r="AX52" s="506"/>
      <c r="AY52" s="506"/>
      <c r="AZ52" s="506"/>
      <c r="BA52" s="1161">
        <v>11</v>
      </c>
    </row>
    <row customHeight="1" ht="11.549999999999999">
      <c r="A53" s="1369" t="s">
        <v>200</v>
      </c>
      <c r="B53" s="1369"/>
      <c r="C53" s="1369"/>
      <c r="D53" s="1369"/>
      <c r="E53" s="2265"/>
      <c r="F53" s="2265"/>
      <c r="G53" s="2265"/>
      <c r="H53" s="2265"/>
      <c r="I53" s="2292"/>
      <c r="J53" s="2292"/>
      <c r="K53" s="2262"/>
      <c r="L53" s="1370"/>
      <c r="P53" s="2263"/>
      <c r="Q53" s="2263"/>
      <c r="R53" s="363"/>
      <c r="S53" s="2348"/>
      <c r="T53" s="2351"/>
      <c r="U53" s="306"/>
      <c r="V53" s="1399"/>
      <c r="W53" s="1502"/>
      <c r="X53" s="1399"/>
      <c r="Y53" s="1399"/>
      <c r="Z53" s="1399"/>
      <c r="AA53" s="1399"/>
      <c r="AB53" s="2113"/>
      <c r="AC53" s="2332"/>
      <c r="AD53" s="2211"/>
      <c r="AE53" s="2354"/>
      <c r="AF53" s="2113"/>
      <c r="AG53" s="300"/>
      <c r="AH53" s="421"/>
      <c r="AI53" s="421" t="s">
        <v>479</v>
      </c>
      <c r="AJ53" s="1399"/>
      <c r="AK53" s="1399"/>
      <c r="AL53" s="1399"/>
      <c r="AM53" s="1399"/>
      <c r="AN53" s="1399"/>
      <c r="AO53" s="1502"/>
      <c r="AP53" s="1399"/>
      <c r="AQ53" s="1399"/>
      <c r="AR53" s="1399"/>
      <c r="AS53" s="1399"/>
      <c r="AT53" s="1396"/>
      <c r="AU53" s="2260"/>
      <c r="AW53" s="506"/>
      <c r="AX53" s="506"/>
      <c r="AY53" s="506"/>
      <c r="AZ53" s="506"/>
      <c r="BA53" s="1161">
        <v>11</v>
      </c>
    </row>
    <row customHeight="1" ht="11.549999999999999">
      <c r="A54" s="1369" t="s">
        <v>200</v>
      </c>
      <c r="B54" s="1369" t="s">
        <v>201</v>
      </c>
      <c r="C54" s="1369" t="s">
        <v>202</v>
      </c>
      <c r="D54" s="1369" t="s">
        <v>203</v>
      </c>
      <c r="E54" s="2265"/>
      <c r="F54" s="2265"/>
      <c r="G54" s="2265"/>
      <c r="H54" s="2265"/>
      <c r="I54" s="2292"/>
      <c r="J54" s="2292"/>
      <c r="K54" s="2262"/>
      <c r="L54" s="1370"/>
      <c r="P54" s="2263"/>
      <c r="Q54" s="2263"/>
      <c r="R54" s="363"/>
      <c r="S54" s="2349"/>
      <c r="T54" s="2352"/>
      <c r="U54" s="306"/>
      <c r="V54" s="1399"/>
      <c r="W54" s="1400" t="str">
        <f>X51&amp;"-"&amp;Z51</f>
        <v>-</v>
      </c>
      <c r="X54" s="1399"/>
      <c r="Y54" s="1399"/>
      <c r="Z54" s="1399"/>
      <c r="AA54" s="1399"/>
      <c r="AB54" s="2113"/>
      <c r="AC54" s="318"/>
      <c r="AD54" s="320"/>
      <c r="AE54" s="421" t="s">
        <v>480</v>
      </c>
      <c r="AF54" s="1399"/>
      <c r="AG54" s="1399"/>
      <c r="AH54" s="1399"/>
      <c r="AI54" s="1399"/>
      <c r="AJ54" s="1399"/>
      <c r="AK54" s="1399"/>
      <c r="AL54" s="1399"/>
      <c r="AM54" s="1399"/>
      <c r="AN54" s="1399"/>
      <c r="AO54" s="1400" t="str">
        <f>AP51&amp;"-"&amp;AR51</f>
        <v>-</v>
      </c>
      <c r="AP54" s="1399"/>
      <c r="AQ54" s="1399"/>
      <c r="AR54" s="1399"/>
      <c r="AS54" s="1399"/>
      <c r="AT54" s="1355"/>
      <c r="AU54" s="2260"/>
      <c r="AW54" s="506"/>
      <c r="AX54" s="506" t="str">
        <f>IF(T54="","",T54)</f>
        <v/>
      </c>
      <c r="AY54" s="506"/>
      <c r="AZ54" s="506"/>
      <c r="BA54" s="1161">
        <v>11</v>
      </c>
    </row>
    <row customHeight="1" ht="11.549999999999999">
      <c r="A55" s="1369" t="s">
        <v>200</v>
      </c>
      <c r="B55" s="1369" t="s">
        <v>201</v>
      </c>
      <c r="C55" s="1369" t="s">
        <v>202</v>
      </c>
      <c r="D55" s="1369" t="s">
        <v>203</v>
      </c>
      <c r="E55" s="2265"/>
      <c r="F55" s="2265"/>
      <c r="G55" s="2265"/>
      <c r="H55" s="2265"/>
      <c r="I55" s="2292"/>
      <c r="J55" s="2262"/>
      <c r="K55" s="1369"/>
      <c r="L55" s="1370"/>
      <c r="P55" s="2263"/>
      <c r="Q55" s="2263"/>
      <c r="R55" s="362"/>
      <c r="S55" s="1284"/>
      <c r="T55" s="293" t="s">
        <v>481</v>
      </c>
      <c r="U55" s="373"/>
      <c r="V55" s="373"/>
      <c r="W55" s="373"/>
      <c r="X55" s="373"/>
      <c r="Y55" s="373"/>
      <c r="Z55" s="373"/>
      <c r="AA55" s="330"/>
      <c r="AB55" s="1511"/>
      <c r="AC55" s="373"/>
      <c r="AD55" s="373"/>
      <c r="AE55" s="373"/>
      <c r="AF55" s="373"/>
      <c r="AG55" s="373"/>
      <c r="AH55" s="373"/>
      <c r="AI55" s="373"/>
      <c r="AJ55" s="373"/>
      <c r="AK55" s="373"/>
      <c r="AL55" s="373"/>
      <c r="AM55" s="373"/>
      <c r="AN55" s="373"/>
      <c r="AO55" s="373"/>
      <c r="AP55" s="373"/>
      <c r="AQ55" s="373"/>
      <c r="AR55" s="373"/>
      <c r="AS55" s="373"/>
      <c r="AT55" s="330"/>
      <c r="AU55" s="2261"/>
      <c r="AW55" s="506"/>
      <c r="AX55" s="506" t="str">
        <f>IF(T55="","",T55)</f>
        <v>Добавить строку</v>
      </c>
      <c r="AY55" s="506"/>
      <c r="AZ55" s="506"/>
      <c r="BA55" s="1161">
        <v>11</v>
      </c>
    </row>
    <row s="1648" customFormat="1" customHeight="1" ht="1.05">
      <c r="A56" s="1349" t="s">
        <v>200</v>
      </c>
      <c r="B56" s="1349" t="s">
        <v>201</v>
      </c>
      <c r="C56" s="1349" t="s">
        <v>202</v>
      </c>
      <c r="D56" s="1349" t="s">
        <v>203</v>
      </c>
      <c r="E56" s="2265"/>
      <c r="F56" s="2265"/>
      <c r="G56" s="2265"/>
      <c r="H56" s="2265"/>
      <c r="I56" s="2262"/>
      <c r="J56" s="1349"/>
      <c r="K56" s="1349"/>
      <c r="L56" s="1352"/>
      <c r="M56" s="516"/>
      <c r="N56" s="516"/>
      <c r="O56" s="516"/>
      <c r="P56" s="2263"/>
      <c r="Q56" s="1337"/>
      <c r="R56" s="362"/>
      <c r="S56" s="1392"/>
      <c r="T56" s="1393" t="s">
        <v>428</v>
      </c>
      <c r="U56" s="1394"/>
      <c r="V56" s="1394"/>
      <c r="W56" s="1394"/>
      <c r="X56" s="1394"/>
      <c r="Y56" s="1394"/>
      <c r="Z56" s="1394"/>
      <c r="AA56" s="1394"/>
      <c r="AB56" s="1394"/>
      <c r="AC56" s="1394"/>
      <c r="AD56" s="1394"/>
      <c r="AE56" s="1394"/>
      <c r="AF56" s="1394"/>
      <c r="AG56" s="1394"/>
      <c r="AH56" s="1394"/>
      <c r="AI56" s="1394"/>
      <c r="AJ56" s="1394"/>
      <c r="AK56" s="1394"/>
      <c r="AL56" s="1394"/>
      <c r="AM56" s="1394"/>
      <c r="AN56" s="1394"/>
      <c r="AO56" s="1394"/>
      <c r="AP56" s="1394"/>
      <c r="AQ56" s="1394"/>
      <c r="AR56" s="1394"/>
      <c r="AS56" s="1394"/>
      <c r="AT56" s="1394"/>
      <c r="AU56" s="1395"/>
      <c r="AW56" s="506"/>
      <c r="AX56" s="506" t="str">
        <f>IF(T56="","",T56)</f>
        <v>Добавить группу потребителей</v>
      </c>
      <c r="AY56" s="506"/>
      <c r="AZ56" s="506"/>
      <c r="BA56" s="517">
        <v>1</v>
      </c>
    </row>
    <row s="1647" customFormat="1" customHeight="1" ht="1.05">
      <c r="A57" s="1349" t="s">
        <v>200</v>
      </c>
      <c r="B57" s="1349" t="s">
        <v>201</v>
      </c>
      <c r="C57" s="1349" t="s">
        <v>202</v>
      </c>
      <c r="D57" s="1349" t="s">
        <v>203</v>
      </c>
      <c r="E57" s="2265"/>
      <c r="F57" s="2265"/>
      <c r="G57" s="2265"/>
      <c r="H57" s="2264"/>
      <c r="I57" s="1349"/>
      <c r="J57" s="1349"/>
      <c r="K57" s="1349"/>
      <c r="L57" s="1352"/>
      <c r="M57" s="1321"/>
      <c r="N57" s="1321"/>
      <c r="O57" s="524"/>
      <c r="P57" s="386"/>
      <c r="Q57" s="1350"/>
      <c r="R57" s="1406"/>
      <c r="S57" s="1392"/>
      <c r="T57" s="1393"/>
      <c r="U57" s="1394"/>
      <c r="V57" s="1394"/>
      <c r="W57" s="1394"/>
      <c r="X57" s="1394"/>
      <c r="Y57" s="1394"/>
      <c r="Z57" s="1394"/>
      <c r="AA57" s="1394"/>
      <c r="AB57" s="1394"/>
      <c r="AC57" s="1394"/>
      <c r="AD57" s="1394"/>
      <c r="AE57" s="1394"/>
      <c r="AF57" s="1394"/>
      <c r="AG57" s="1394"/>
      <c r="AH57" s="1394"/>
      <c r="AI57" s="1394"/>
      <c r="AJ57" s="1394"/>
      <c r="AK57" s="1394"/>
      <c r="AL57" s="1394"/>
      <c r="AM57" s="1394"/>
      <c r="AN57" s="1394"/>
      <c r="AO57" s="1394"/>
      <c r="AP57" s="1394"/>
      <c r="AQ57" s="1394"/>
      <c r="AR57" s="1394"/>
      <c r="AS57" s="1394"/>
      <c r="AT57" s="1394"/>
      <c r="AU57" s="1395"/>
      <c r="AV57" s="517"/>
      <c r="AW57" s="506"/>
      <c r="AX57" s="506" t="str">
        <f>IF(T57="","",T57)</f>
        <v/>
      </c>
      <c r="AY57" s="506"/>
      <c r="AZ57" s="506"/>
      <c r="BA57" s="502">
        <v>1</v>
      </c>
    </row>
    <row s="1648" customFormat="1" customHeight="1" ht="1.05">
      <c r="A58" s="1349" t="s">
        <v>200</v>
      </c>
      <c r="B58" s="1349" t="s">
        <v>201</v>
      </c>
      <c r="C58" s="1349" t="s">
        <v>202</v>
      </c>
      <c r="D58" s="1320"/>
      <c r="E58" s="2265"/>
      <c r="F58" s="2265"/>
      <c r="G58" s="2264"/>
      <c r="H58" s="1320"/>
      <c r="I58" s="1320"/>
      <c r="J58" s="1320"/>
      <c r="K58" s="1320"/>
      <c r="L58" s="1345"/>
      <c r="M58" s="1321"/>
      <c r="N58" s="1321"/>
      <c r="P58" s="1322"/>
      <c r="Q58" s="1323"/>
      <c r="R58" s="1322"/>
      <c r="S58" s="1328"/>
      <c r="T58" s="1331" t="s">
        <v>430</v>
      </c>
      <c r="U58" s="1330"/>
      <c r="V58" s="1330"/>
      <c r="W58" s="1330"/>
      <c r="X58" s="1330"/>
      <c r="Y58" s="1330"/>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W58" s="795"/>
      <c r="AX58" s="795" t="str">
        <f>IF(T58="","",T58)</f>
        <v>Добавить источник для дифференциации</v>
      </c>
      <c r="AY58" s="795"/>
      <c r="AZ58" s="795"/>
      <c r="BA58" s="524">
        <v>1</v>
      </c>
    </row>
    <row s="1648" customFormat="1" customHeight="1" ht="1.05">
      <c r="A59" s="1349" t="s">
        <v>200</v>
      </c>
      <c r="B59" s="1349" t="s">
        <v>201</v>
      </c>
      <c r="C59" s="1320"/>
      <c r="D59" s="1320"/>
      <c r="E59" s="2265"/>
      <c r="F59" s="2264"/>
      <c r="G59" s="1320"/>
      <c r="H59" s="1320"/>
      <c r="I59" s="1320"/>
      <c r="J59" s="1320"/>
      <c r="K59" s="1320"/>
      <c r="L59" s="1345"/>
      <c r="M59" s="1327"/>
      <c r="N59" s="1327"/>
      <c r="P59" s="1322"/>
      <c r="Q59" s="1323"/>
      <c r="R59" s="1322"/>
      <c r="S59" s="1328"/>
      <c r="T59" s="1331" t="s">
        <v>251</v>
      </c>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W59" s="795"/>
      <c r="AX59" s="795" t="str">
        <f>IF(T59="","",T59)</f>
        <v>Добавить централизованную систему для дифференциации</v>
      </c>
      <c r="AY59" s="795"/>
      <c r="AZ59" s="795"/>
      <c r="BA59" s="524">
        <v>1</v>
      </c>
    </row>
    <row s="1648" customFormat="1" customHeight="1" ht="1.05">
      <c r="A60" s="1349" t="s">
        <v>200</v>
      </c>
      <c r="B60" s="1349"/>
      <c r="C60" s="1349"/>
      <c r="D60" s="1349"/>
      <c r="E60" s="2265"/>
      <c r="F60" s="1349"/>
      <c r="G60" s="1349"/>
      <c r="H60" s="1349"/>
      <c r="I60" s="1349"/>
      <c r="J60" s="1349"/>
      <c r="K60" s="1349"/>
      <c r="L60" s="1352"/>
      <c r="M60" s="1327"/>
      <c r="N60" s="1327"/>
      <c r="O60" s="524"/>
      <c r="P60" s="386"/>
      <c r="Q60" s="1350"/>
      <c r="R60" s="386"/>
      <c r="S60" s="1328"/>
      <c r="T60" s="1331" t="s">
        <v>252</v>
      </c>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W60" s="506"/>
      <c r="AX60" s="506" t="str">
        <f>IF(T60="","",T60)</f>
        <v>Добавить территорию для дифференциации</v>
      </c>
      <c r="AY60" s="506"/>
      <c r="AZ60" s="506"/>
      <c r="BA60" s="517">
        <v>1</v>
      </c>
    </row>
    <row s="1648" customFormat="1" customHeight="1" ht="1.05">
      <c r="A61" s="1349" t="s">
        <v>200</v>
      </c>
      <c r="B61" s="1349"/>
      <c r="C61" s="1349"/>
      <c r="D61" s="1349"/>
      <c r="E61" s="2264"/>
      <c r="F61" s="1349"/>
      <c r="G61" s="1349"/>
      <c r="H61" s="1349"/>
      <c r="I61" s="1349"/>
      <c r="J61" s="1349"/>
      <c r="K61" s="1349"/>
      <c r="L61" s="1352"/>
      <c r="M61" s="1327"/>
      <c r="N61" s="1327"/>
      <c r="O61" s="524"/>
      <c r="P61" s="386"/>
      <c r="Q61" s="1350"/>
      <c r="R61" s="386"/>
      <c r="S61" s="1328"/>
      <c r="T61" s="1331" t="s">
        <v>252</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W61" s="506"/>
      <c r="AX61" s="506" t="str">
        <f>IF(T61="","",T61)</f>
        <v>Добавить территорию для дифференциации</v>
      </c>
      <c r="AY61" s="506"/>
      <c r="AZ61" s="506"/>
      <c r="BA61" s="517">
        <v>1</v>
      </c>
    </row>
    <row s="1648" customFormat="1" customHeight="1" ht="1.05">
      <c r="A62" s="1320"/>
      <c r="B62" s="1320"/>
      <c r="C62" s="1320"/>
      <c r="D62" s="1320"/>
      <c r="E62" s="1349"/>
      <c r="F62" s="1320"/>
      <c r="G62" s="1320"/>
      <c r="H62" s="1320"/>
      <c r="I62" s="1320"/>
      <c r="J62" s="1320"/>
      <c r="K62" s="1320"/>
      <c r="L62" s="1345"/>
      <c r="M62" s="1327"/>
      <c r="N62" s="1327"/>
      <c r="P62" s="1322"/>
      <c r="Q62" s="1323"/>
      <c r="R62" s="1322"/>
      <c r="S62" s="1328"/>
      <c r="T62" s="1331" t="s">
        <v>264</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W62" s="795"/>
      <c r="AX62" s="795" t="str">
        <f>IF(T62="","",T62)</f>
        <v>Добавить наименование тарифа</v>
      </c>
      <c r="AY62" s="795"/>
      <c r="AZ62" s="795"/>
      <c r="BA62" s="524">
        <v>1</v>
      </c>
    </row>
    <row customHeight="1" ht="11.549999999999999">
      <c r="M63" s="1166"/>
      <c r="N63" s="1166"/>
      <c r="O63" s="543"/>
      <c r="P63" s="1166"/>
      <c r="Q63" s="1166"/>
      <c r="R63" s="1161"/>
      <c r="S63" s="1161"/>
      <c r="AV63" s="1161"/>
      <c r="AW63" s="1161"/>
      <c r="AX63" s="1161"/>
      <c r="AY63" s="1161"/>
      <c r="AZ63" s="1161"/>
      <c r="BA63" s="1161">
        <v>11</v>
      </c>
    </row>
    <row customHeight="1" ht="19.9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BA64" s="1161">
        <v>19</v>
      </c>
    </row>
    <row customHeight="1" ht="21">
      <c r="O65" s="543"/>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BA65" s="1161">
        <v>20</v>
      </c>
    </row>
    <row customHeight="1" ht="14.699999999999998">
      <c r="O66" s="543"/>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1339"/>
      <c r="BA66" s="1161">
        <v>14</v>
      </c>
    </row>
    <row customHeight="1" ht="19.95">
      <c r="O67" s="543"/>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BA67" s="1161">
        <v>19</v>
      </c>
    </row>
    <row customHeight="1" ht="16.8">
      <c r="O68" s="543"/>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c r="AS68" s="2291"/>
      <c r="AT68" s="2291"/>
      <c r="AU68" s="2291"/>
      <c r="BA68" s="1161">
        <v>16</v>
      </c>
    </row>
    <row customHeight="1" ht="14.699999999999998">
      <c r="O69" s="543"/>
      <c r="BA69" s="1161">
        <v>14</v>
      </c>
    </row>
    <row customHeight="1" ht="22.5" hidden="1">
      <c r="A70" s="1166" t="s">
        <v>83</v>
      </c>
      <c r="B70" s="1166">
        <v>0</v>
      </c>
      <c r="C70" s="1166">
        <v>0</v>
      </c>
      <c r="D70" s="1166">
        <v>0</v>
      </c>
      <c r="E70" s="1166">
        <v>0</v>
      </c>
      <c r="F70" s="1166">
        <v>0</v>
      </c>
      <c r="G70" s="1166">
        <v>0</v>
      </c>
      <c r="H70" s="1166">
        <v>0</v>
      </c>
      <c r="I70" s="1166">
        <v>0</v>
      </c>
      <c r="J70" s="1166">
        <v>0</v>
      </c>
      <c r="K70" s="1166">
        <v>0</v>
      </c>
      <c r="L70" s="1335">
        <v>0</v>
      </c>
      <c r="M70" s="1368">
        <v>0</v>
      </c>
      <c r="N70" s="1368">
        <v>0</v>
      </c>
      <c r="O70" s="1368">
        <v>0</v>
      </c>
      <c r="P70" s="1368">
        <v>3</v>
      </c>
      <c r="Q70" s="1377">
        <v>3</v>
      </c>
      <c r="R70" s="350">
        <v>3</v>
      </c>
      <c r="S70" s="587">
        <v>12</v>
      </c>
      <c r="T70" s="1161">
        <v>31</v>
      </c>
      <c r="U70" s="1161">
        <v>0</v>
      </c>
      <c r="V70" s="1161">
        <v>0</v>
      </c>
      <c r="W70" s="1161">
        <v>0</v>
      </c>
      <c r="X70" s="1161">
        <v>0</v>
      </c>
      <c r="Y70" s="1161">
        <v>0</v>
      </c>
      <c r="Z70" s="1161">
        <v>0</v>
      </c>
      <c r="AA70" s="1161">
        <v>0</v>
      </c>
      <c r="AB70" s="1161">
        <v>5</v>
      </c>
      <c r="AC70" s="1161">
        <v>3</v>
      </c>
      <c r="AD70" s="1161">
        <v>3</v>
      </c>
      <c r="AE70" s="1161">
        <v>24</v>
      </c>
      <c r="AF70" s="1161">
        <v>3</v>
      </c>
      <c r="AG70" s="1161">
        <v>3</v>
      </c>
      <c r="AH70" s="1161">
        <v>3</v>
      </c>
      <c r="AI70" s="1161">
        <v>24</v>
      </c>
      <c r="AJ70" s="1161">
        <v>3</v>
      </c>
      <c r="AK70" s="1161">
        <v>3</v>
      </c>
      <c r="AL70" s="1161">
        <v>3</v>
      </c>
      <c r="AM70" s="1161">
        <v>18</v>
      </c>
      <c r="AN70" s="1161">
        <v>21</v>
      </c>
      <c r="AO70" s="1161">
        <v>21</v>
      </c>
      <c r="AP70" s="1161">
        <v>11</v>
      </c>
      <c r="AQ70" s="1161">
        <v>3</v>
      </c>
      <c r="AR70" s="1161">
        <v>11</v>
      </c>
      <c r="AS70" s="1161">
        <v>8</v>
      </c>
      <c r="AT70" s="1161">
        <v>4</v>
      </c>
      <c r="AU70" s="1161">
        <v>115</v>
      </c>
      <c r="AV70" s="517">
        <v>10</v>
      </c>
      <c r="AW70" s="517">
        <v>10</v>
      </c>
      <c r="AX70" s="517">
        <v>10</v>
      </c>
      <c r="AY70" s="517">
        <v>10</v>
      </c>
      <c r="AZ70" s="517">
        <v>10</v>
      </c>
      <c r="BA70" s="1161">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4E4A39-3F92-2141-2C21-4FFB9BF6026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31">
        <f>INDEX(PT_DIFFERENTIATION_NUM_NTAR,MATCH(A2,PT_DIFFERENTIATION_NTAR_ID,0))</f>
      </c>
      <c r="T2" s="304" t="s">
        <v>125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29"/>
      <c r="Q3" s="358"/>
      <c r="R3" s="359"/>
      <c r="S3" s="1431">
        <f>INDEX(PT_DIFFERENTIATION_NUM_TER,MATCH(B3,PT_DIFFERENTIATION_TER_ID,0))</f>
      </c>
      <c r="T3" s="314" t="s">
        <v>413</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414</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31">
        <f>INDEX(PT_DIFFERENTIATION_NUM_CS,MATCH(C4,PT_DIFFERENTIATION_CS_ID,0))</f>
      </c>
      <c r="T4" s="315" t="s">
        <v>494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495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28"/>
      <c r="R5" s="362"/>
      <c r="S5" s="1431">
        <f>$I5</f>
      </c>
      <c r="T5" s="291" t="s">
        <v>496</v>
      </c>
      <c r="U5" s="306"/>
      <c r="V5" s="2356"/>
      <c r="W5" s="2357"/>
      <c r="X5" s="2357"/>
      <c r="Y5" s="2357"/>
      <c r="Z5" s="2357"/>
      <c r="AA5" s="2357"/>
      <c r="AB5" s="2358"/>
      <c r="AC5" s="2359"/>
      <c r="AD5" s="2360"/>
      <c r="AE5" s="2360"/>
      <c r="AF5" s="2360"/>
      <c r="AG5" s="2360"/>
      <c r="AH5" s="2360"/>
      <c r="AI5" s="2360"/>
      <c r="AJ5" s="2361"/>
      <c r="AK5" s="1264" t="s">
        <v>497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422</v>
      </c>
      <c r="P6" s="2263"/>
      <c r="Q6" s="2263">
        <v>1</v>
      </c>
      <c r="R6" s="363"/>
      <c r="S6" s="1431">
        <f>$J6</f>
      </c>
      <c r="T6" s="292" t="s">
        <v>423</v>
      </c>
      <c r="U6" s="306"/>
      <c r="V6" s="2251"/>
      <c r="W6" s="2252"/>
      <c r="X6" s="2252"/>
      <c r="Y6" s="2252"/>
      <c r="Z6" s="2252"/>
      <c r="AA6" s="2252"/>
      <c r="AB6" s="2253"/>
      <c r="AC6" s="2251"/>
      <c r="AD6" s="2252"/>
      <c r="AE6" s="2252"/>
      <c r="AF6" s="2252"/>
      <c r="AG6" s="2252"/>
      <c r="AH6" s="2252"/>
      <c r="AI6" s="2252"/>
      <c r="AJ6" s="2253"/>
      <c r="AK6" s="1313" t="s">
        <v>498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31">
        <f>$K7</f>
      </c>
      <c r="T7" s="1443"/>
      <c r="U7" s="306"/>
      <c r="V7" s="757"/>
      <c r="W7" s="757"/>
      <c r="X7" s="1263"/>
      <c r="Y7" s="2271"/>
      <c r="Z7" s="2113" t="s">
        <v>62</v>
      </c>
      <c r="AA7" s="2271"/>
      <c r="AB7" s="2113" t="s">
        <v>62</v>
      </c>
      <c r="AC7" s="757"/>
      <c r="AD7" s="757"/>
      <c r="AE7" s="1263"/>
      <c r="AF7" s="2271"/>
      <c r="AG7" s="2113" t="s">
        <v>62</v>
      </c>
      <c r="AH7" s="2293"/>
      <c r="AI7" s="2113" t="s">
        <v>62</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30"/>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499</v>
      </c>
      <c r="U9" s="373"/>
      <c r="V9" s="373"/>
      <c r="W9" s="373"/>
      <c r="X9" s="373"/>
      <c r="Y9" s="373"/>
      <c r="Z9" s="373"/>
      <c r="AA9" s="373"/>
      <c r="AB9" s="373"/>
      <c r="AC9" s="373"/>
      <c r="AD9" s="373"/>
      <c r="AE9" s="373"/>
      <c r="AF9" s="373"/>
      <c r="AG9" s="373"/>
      <c r="AH9" s="373"/>
      <c r="AI9" s="373"/>
      <c r="AJ9" s="373"/>
      <c r="AK9" s="1264" t="s">
        <v>500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28"/>
      <c r="R10" s="362"/>
      <c r="S10" s="1284"/>
      <c r="T10" s="371" t="s">
        <v>428</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14.25" hidden="1">
      <c r="A11" s="1369"/>
      <c r="B11" s="1369"/>
      <c r="C11" s="1369"/>
      <c r="D11" s="1369"/>
      <c r="E11" s="2265"/>
      <c r="F11" s="2265"/>
      <c r="G11" s="2265"/>
      <c r="H11" s="2264"/>
      <c r="I11" s="1369"/>
      <c r="J11" s="1369"/>
      <c r="K11" s="1369"/>
      <c r="L11" s="1370"/>
      <c r="M11" s="1371"/>
      <c r="N11" s="1371"/>
      <c r="O11" s="543"/>
      <c r="P11" s="366"/>
      <c r="Q11" s="381"/>
      <c r="R11" s="361"/>
      <c r="S11" s="1284"/>
      <c r="T11" s="378" t="s">
        <v>501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32"/>
      <c r="M12" s="1327"/>
      <c r="N12" s="1327"/>
      <c r="P12" s="1322"/>
      <c r="Q12" s="1323"/>
      <c r="R12" s="1322"/>
      <c r="S12" s="1328"/>
      <c r="T12" s="1331" t="s">
        <v>251</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252</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62</v>
      </c>
      <c r="AH15" s="2273"/>
      <c r="AI15" s="2274" t="s">
        <v>62</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27"/>
      <c r="M18" s="1368"/>
      <c r="N18" s="1368"/>
      <c r="O18" s="1373" t="s">
        <v>431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27"/>
      <c r="M19" s="1368"/>
      <c r="N19" s="1368"/>
      <c r="O19" s="1368"/>
      <c r="P19" s="1368"/>
      <c r="Q19" s="1377"/>
      <c r="R19" s="1377"/>
      <c r="S19" s="735"/>
      <c r="AB19" s="1372"/>
      <c r="AI19" s="1372"/>
      <c r="AL19" s="517"/>
      <c r="AM19" s="517"/>
      <c r="AN19" s="517"/>
      <c r="AO19" s="517"/>
      <c r="AP19" s="517"/>
      <c r="AQ19" s="1166">
        <v>0</v>
      </c>
    </row>
    <row s="1372" customFormat="1" customHeight="1" ht="12" hidden="1">
      <c r="L20" s="1427"/>
      <c r="M20" s="1368"/>
      <c r="N20" s="1368"/>
      <c r="O20" s="1370" t="s">
        <v>432</v>
      </c>
      <c r="P20" s="1368"/>
      <c r="Q20" s="1448"/>
      <c r="R20" s="1448"/>
      <c r="S20" s="735"/>
      <c r="T20" s="1166" t="s">
        <v>433</v>
      </c>
      <c r="Z20" s="192" t="s">
        <v>434</v>
      </c>
      <c r="AB20" s="192" t="s">
        <v>435</v>
      </c>
      <c r="AC20" s="1166" t="s">
        <v>433</v>
      </c>
      <c r="AG20" s="192" t="s">
        <v>436</v>
      </c>
      <c r="AI20" s="192" t="s">
        <v>435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1249"/>
      <c r="AQ25" s="1161">
        <v>14</v>
      </c>
    </row>
    <row customHeight="1" ht="14.25">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2257"/>
      <c r="AB27" s="332"/>
      <c r="AC27" s="2257" t="str">
        <f>IF(TITLE_NAME_OR_PR_CHANGE="",IF(TITLE_NAME_OR_PR="","",TITLE_NAME_OR_PR),TITLE_NAME_OR_PR_CHANGE)</f>
        <v>Государственный комитет по ценовой политике Республики Саха (Якутия)</v>
      </c>
      <c r="AD27" s="2257"/>
      <c r="AE27" s="2257"/>
      <c r="AF27" s="2257"/>
      <c r="AG27" s="2257"/>
      <c r="AH27" s="2257"/>
      <c r="AI27" s="332"/>
      <c r="AJ27" s="332"/>
      <c r="AK27" s="286"/>
      <c r="AL27" s="374"/>
      <c r="AM27" s="374"/>
      <c r="AN27" s="374"/>
      <c r="AO27" s="374"/>
      <c r="AP27" s="374"/>
      <c r="AQ27" s="424">
        <v>0</v>
      </c>
    </row>
    <row s="1859" customFormat="1" customHeight="1" ht="18.75">
      <c r="A28" s="1374"/>
      <c r="B28" s="1374"/>
      <c r="C28" s="1374"/>
      <c r="D28" s="1374"/>
      <c r="E28" s="1374"/>
      <c r="F28" s="1374"/>
      <c r="G28" s="1374"/>
      <c r="H28" s="1374"/>
      <c r="I28" s="1374"/>
      <c r="J28" s="1374"/>
      <c r="K28" s="1374"/>
      <c r="L28" s="1375"/>
      <c r="M28" s="1374"/>
      <c r="N28" s="1374"/>
      <c r="O28" s="1374"/>
      <c r="S28" s="2256" t="s">
        <v>437</v>
      </c>
      <c r="T28" s="2256"/>
      <c r="U28" s="1378"/>
      <c r="V28" s="2270" t="str">
        <f>IF(TITLE_DATE_PR_CHANGE="",IF(TITLE_DATE_PR="","",TITLE_DATE_PR),TITLE_DATE_PR_CHANGE)</f>
        <v>46003.502546296295</v>
      </c>
      <c r="W28" s="2270"/>
      <c r="X28" s="2270"/>
      <c r="Y28" s="2270"/>
      <c r="Z28" s="2270"/>
      <c r="AA28" s="2270"/>
      <c r="AB28" s="332"/>
      <c r="AC28" s="2270" t="str">
        <f>IF(TITLE_DATE_PR_CHANGE="",IF(TITLE_DATE_PR="","",TITLE_DATE_PR),TITLE_DATE_PR_CHANGE)</f>
        <v>46003.502546296295</v>
      </c>
      <c r="AD28" s="2270"/>
      <c r="AE28" s="2270"/>
      <c r="AF28" s="2270"/>
      <c r="AG28" s="2270"/>
      <c r="AH28" s="2270"/>
      <c r="AI28" s="332"/>
      <c r="AJ28" s="332"/>
      <c r="AK28" s="286"/>
      <c r="AL28" s="374"/>
      <c r="AM28" s="374"/>
      <c r="AN28" s="374"/>
      <c r="AO28" s="374"/>
      <c r="AP28" s="374"/>
      <c r="AQ28" s="424">
        <v>0</v>
      </c>
    </row>
    <row s="1859" customFormat="1" customHeight="1" ht="18.75">
      <c r="A29" s="1374"/>
      <c r="B29" s="1374"/>
      <c r="C29" s="1374"/>
      <c r="D29" s="1374"/>
      <c r="E29" s="1374"/>
      <c r="F29" s="1374"/>
      <c r="G29" s="1374"/>
      <c r="H29" s="1374"/>
      <c r="I29" s="1374"/>
      <c r="J29" s="1374"/>
      <c r="K29" s="1374"/>
      <c r="L29" s="1375"/>
      <c r="M29" s="1374"/>
      <c r="N29" s="1374"/>
      <c r="O29" s="1374"/>
      <c r="S29" s="2256" t="s">
        <v>438</v>
      </c>
      <c r="T29" s="2256"/>
      <c r="U29" s="1378"/>
      <c r="V29" s="2257" t="str">
        <f>IF(TITLE_NUMBER_PR_CHANGE="",IF(TITLE_NUMBER_PR="","",TITLE_NUMBER_PR),TITLE_NUMBER_PR_CHANGE)</f>
        <v>№ 222</v>
      </c>
      <c r="W29" s="2257"/>
      <c r="X29" s="2257"/>
      <c r="Y29" s="2257"/>
      <c r="Z29" s="2257"/>
      <c r="AA29" s="2257"/>
      <c r="AB29" s="332"/>
      <c r="AC29" s="2257" t="str">
        <f>IF(TITLE_NUMBER_PR_CHANGE="",IF(TITLE_NUMBER_PR="","",TITLE_NUMBER_PR),TITLE_NUMBER_PR_CHANGE)</f>
        <v>№ 222</v>
      </c>
      <c r="AD29" s="2257"/>
      <c r="AE29" s="2257"/>
      <c r="AF29" s="2257"/>
      <c r="AG29" s="2257"/>
      <c r="AH29" s="2257"/>
      <c r="AI29" s="332"/>
      <c r="AJ29" s="332"/>
      <c r="AK29" s="286"/>
      <c r="AL29" s="374"/>
      <c r="AM29" s="374"/>
      <c r="AN29" s="374"/>
      <c r="AO29" s="374"/>
      <c r="AP29" s="374"/>
      <c r="AQ29" s="424">
        <v>0</v>
      </c>
    </row>
    <row s="1859" customFormat="1" customHeight="1" ht="18.75">
      <c r="A30" s="1374"/>
      <c r="B30" s="1374"/>
      <c r="C30" s="1374"/>
      <c r="D30" s="1374"/>
      <c r="E30" s="1374"/>
      <c r="F30" s="1374"/>
      <c r="G30" s="1374"/>
      <c r="H30" s="1374"/>
      <c r="I30" s="1374"/>
      <c r="J30" s="1374"/>
      <c r="K30" s="1374"/>
      <c r="L30" s="1375"/>
      <c r="M30" s="1374"/>
      <c r="N30" s="1374"/>
      <c r="O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2257"/>
      <c r="AB30" s="332"/>
      <c r="AC30" s="2257" t="str">
        <f>IF(TITLE_IST_PUB_CHANGE="",IF(TITLE_IST_PUB="","",TITLE_IST_PUB),TITLE_IST_PUB_CHANGE)</f>
        <v>Официальный интернет-портал правовой информации http://pravo.gov.ru/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439</v>
      </c>
      <c r="T32" s="2256"/>
      <c r="U32" s="1378"/>
      <c r="V32" s="2270" t="str">
        <f>IF(TITLE_DATE_PR_CHANGE="",IF(TITLE_DATE_PR="","",TITLE_DATE_PR),TITLE_DATE_PR_CHANGE)</f>
        <v>46003.502546296295</v>
      </c>
      <c r="W32" s="2270"/>
      <c r="X32" s="2270"/>
      <c r="Y32" s="2270"/>
      <c r="Z32" s="2270"/>
      <c r="AA32" s="2270"/>
      <c r="AB32" s="332"/>
      <c r="AC32" s="2270" t="str">
        <f>IF(TITLE_DATE_PR_CHANGE="",IF(TITLE_DATE_PR="","",TITLE_DATE_PR),TITLE_DATE_PR_CHANGE)</f>
        <v>46003.502546296295</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440</v>
      </c>
      <c r="T33" s="2256"/>
      <c r="U33" s="1378"/>
      <c r="V33" s="2257" t="str">
        <f>IF(TITLE_NUMBER_PR_CHANGE="",IF(TITLE_NUMBER_PR="","",TITLE_NUMBER_PR),TITLE_NUMBER_PR_CHANGE)</f>
        <v>№ 222</v>
      </c>
      <c r="W33" s="2257"/>
      <c r="X33" s="2257"/>
      <c r="Y33" s="2257"/>
      <c r="Z33" s="2257"/>
      <c r="AA33" s="2257"/>
      <c r="AB33" s="332"/>
      <c r="AC33" s="2257" t="str">
        <f>IF(TITLE_NUMBER_PR_CHANGE="",IF(TITLE_NUMBER_PR="","",TITLE_NUMBER_PR),TITLE_NUMBER_PR_CHANGE)</f>
        <v>№ 222</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361"/>
      <c r="V34" s="332"/>
      <c r="W34" s="332"/>
      <c r="X34" s="332"/>
      <c r="Y34" s="332"/>
      <c r="Z34" s="332"/>
      <c r="AA34" s="332"/>
      <c r="AB34" s="284" t="s">
        <v>441</v>
      </c>
      <c r="AC34" s="332"/>
      <c r="AD34" s="332"/>
      <c r="AE34" s="332"/>
      <c r="AF34" s="332"/>
      <c r="AG34" s="332"/>
      <c r="AH34" s="332"/>
      <c r="AI34" s="284" t="s">
        <v>441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316</v>
      </c>
      <c r="T36" s="2133"/>
      <c r="U36" s="2133"/>
      <c r="V36" s="2133"/>
      <c r="W36" s="2133"/>
      <c r="X36" s="2133"/>
      <c r="Y36" s="2133"/>
      <c r="Z36" s="2133"/>
      <c r="AA36" s="2133"/>
      <c r="AB36" s="2133"/>
      <c r="AC36" s="2133"/>
      <c r="AD36" s="2133"/>
      <c r="AE36" s="2133"/>
      <c r="AF36" s="2133"/>
      <c r="AG36" s="2133"/>
      <c r="AH36" s="2133"/>
      <c r="AI36" s="2133"/>
      <c r="AJ36" s="2133"/>
      <c r="AK36" s="2133" t="s">
        <v>317</v>
      </c>
      <c r="AQ36" s="1161">
        <v>14</v>
      </c>
    </row>
    <row customHeight="1" ht="14.699999999999998">
      <c r="Q37" s="382"/>
      <c r="R37" s="382"/>
      <c r="S37" s="2279" t="s">
        <v>89</v>
      </c>
      <c r="T37" s="2215" t="s">
        <v>442</v>
      </c>
      <c r="U37" s="307"/>
      <c r="V37" s="2280" t="s">
        <v>443</v>
      </c>
      <c r="W37" s="2281"/>
      <c r="X37" s="2281"/>
      <c r="Y37" s="2281"/>
      <c r="Z37" s="2281"/>
      <c r="AA37" s="2282"/>
      <c r="AB37" s="2283" t="s">
        <v>444</v>
      </c>
      <c r="AC37" s="2280" t="s">
        <v>443</v>
      </c>
      <c r="AD37" s="2281"/>
      <c r="AE37" s="2281"/>
      <c r="AF37" s="2281"/>
      <c r="AG37" s="2281"/>
      <c r="AH37" s="2282"/>
      <c r="AI37" s="2283" t="s">
        <v>445</v>
      </c>
      <c r="AJ37" s="2286" t="s">
        <v>446</v>
      </c>
      <c r="AK37" s="2133"/>
      <c r="AQ37" s="1161">
        <v>14</v>
      </c>
    </row>
    <row customHeight="1" ht="35.699999999999996">
      <c r="Q38" s="382"/>
      <c r="R38" s="382"/>
      <c r="S38" s="2279"/>
      <c r="T38" s="2215"/>
      <c r="U38" s="1037"/>
      <c r="V38" s="1358" t="s">
        <v>502</v>
      </c>
      <c r="W38" s="2268" t="s">
        <v>449</v>
      </c>
      <c r="X38" s="2269"/>
      <c r="Y38" s="2268" t="s">
        <v>450</v>
      </c>
      <c r="Z38" s="2275"/>
      <c r="AA38" s="2269"/>
      <c r="AB38" s="2284"/>
      <c r="AC38" s="1358" t="s">
        <v>502</v>
      </c>
      <c r="AD38" s="2268" t="s">
        <v>449</v>
      </c>
      <c r="AE38" s="2269"/>
      <c r="AF38" s="2268" t="s">
        <v>450</v>
      </c>
      <c r="AG38" s="2275"/>
      <c r="AH38" s="2269"/>
      <c r="AI38" s="2284"/>
      <c r="AJ38" s="2287"/>
      <c r="AK38" s="2133"/>
      <c r="AQ38" s="1161">
        <v>34</v>
      </c>
    </row>
    <row customHeight="1" ht="35.699999999999996">
      <c r="A39" s="1376"/>
      <c r="B39" s="1376" t="s">
        <v>137</v>
      </c>
      <c r="C39" s="1376" t="s">
        <v>138</v>
      </c>
      <c r="D39" s="1376" t="s">
        <v>139</v>
      </c>
      <c r="E39" s="1370" t="s">
        <v>451</v>
      </c>
      <c r="F39" s="1370" t="s">
        <v>452</v>
      </c>
      <c r="G39" s="1370" t="s">
        <v>453</v>
      </c>
      <c r="H39" s="1370"/>
      <c r="I39" s="1370" t="s">
        <v>503</v>
      </c>
      <c r="J39" s="1370" t="s">
        <v>456</v>
      </c>
      <c r="K39" s="1370" t="s">
        <v>504</v>
      </c>
      <c r="L39" s="1370" t="s">
        <v>432</v>
      </c>
      <c r="Q39" s="382"/>
      <c r="R39" s="382"/>
      <c r="S39" s="2279"/>
      <c r="T39" s="2215"/>
      <c r="U39" s="308"/>
      <c r="V39" s="1358" t="s">
        <v>505</v>
      </c>
      <c r="W39" s="1228" t="s">
        <v>506</v>
      </c>
      <c r="X39" s="1228" t="s">
        <v>507</v>
      </c>
      <c r="Y39" s="1363" t="s">
        <v>460</v>
      </c>
      <c r="Z39" s="2276" t="s">
        <v>461</v>
      </c>
      <c r="AA39" s="2277"/>
      <c r="AB39" s="2285"/>
      <c r="AC39" s="1358" t="s">
        <v>505</v>
      </c>
      <c r="AD39" s="1228" t="s">
        <v>506</v>
      </c>
      <c r="AE39" s="1228" t="s">
        <v>507</v>
      </c>
      <c r="AF39" s="1363" t="s">
        <v>460</v>
      </c>
      <c r="AG39" s="2276" t="s">
        <v>461</v>
      </c>
      <c r="AH39" s="2277"/>
      <c r="AI39" s="2285"/>
      <c r="AJ39" s="2288"/>
      <c r="AK39" s="2133"/>
      <c r="AQ39" s="1161">
        <v>34</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111</v>
      </c>
      <c r="T40" s="1261" t="s">
        <v>112</v>
      </c>
      <c r="U40" s="1251" t="str">
        <f>OFFSET(U40,0,-1)</f>
        <v>2</v>
      </c>
      <c r="V40" s="1359">
        <f>OFFSET(V40,0,-1)+1</f>
        <v>3</v>
      </c>
      <c r="W40" s="1359">
        <f>OFFSET(W40,0,-1)+1</f>
        <v>4</v>
      </c>
      <c r="X40" s="1359">
        <f>OFFSET(X40,0,-1)+1</f>
        <v>5</v>
      </c>
      <c r="Y40" s="1359">
        <f>OFFSET(Y40,0,-1)+1</f>
        <v>6</v>
      </c>
      <c r="Z40" s="2278">
        <f>OFFSET(Z40,0,-1)+1</f>
        <v>7</v>
      </c>
      <c r="AA40" s="2278"/>
      <c r="AB40" s="1359">
        <f>OFFSET(AB40,0,-2)+1</f>
        <v>8</v>
      </c>
      <c r="AC40" s="1359">
        <f>OFFSET(AC40,0,-1)+1</f>
        <v>9</v>
      </c>
      <c r="AD40" s="1359">
        <f>OFFSET(AD40,0,-1)+1</f>
        <v>10</v>
      </c>
      <c r="AE40" s="1359">
        <f>OFFSET(AE40,0,-1)+1</f>
        <v>11</v>
      </c>
      <c r="AF40" s="1359">
        <f>OFFSET(AF40,0,-1)+1</f>
        <v>12</v>
      </c>
      <c r="AG40" s="2278">
        <f>OFFSET(AG40,0,-1)+1</f>
        <v>13</v>
      </c>
      <c r="AH40" s="2278"/>
      <c r="AI40" s="1359">
        <f>OFFSET(AI40,0,-2)+1</f>
        <v>14</v>
      </c>
      <c r="AJ40" s="1251">
        <f>OFFSET(AJ40,0,-1)</f>
        <v>14</v>
      </c>
      <c r="AK40" s="1359">
        <f>OFFSET(AK40,0,-1)+1</f>
        <v>15</v>
      </c>
      <c r="AL40" s="517"/>
      <c r="AM40" s="517"/>
      <c r="AN40" s="517"/>
      <c r="AO40" s="517"/>
      <c r="AP40" s="517"/>
      <c r="AQ40" s="502">
        <v>0</v>
      </c>
    </row>
    <row customHeight="1" ht="24">
      <c r="A41" s="1369" t="s">
        <v>226</v>
      </c>
      <c r="B41" s="1369"/>
      <c r="C41" s="1369"/>
      <c r="D41" s="1369"/>
      <c r="E41" s="2264">
        <v>1</v>
      </c>
      <c r="F41" s="1369"/>
      <c r="G41" s="1369"/>
      <c r="H41" s="1369"/>
      <c r="I41" s="1369"/>
      <c r="J41" s="1369"/>
      <c r="K41" s="1369"/>
      <c r="L41" s="1370"/>
      <c r="M41" s="1371"/>
      <c r="N41" s="1371"/>
      <c r="O41" s="1371"/>
      <c r="P41" s="367"/>
      <c r="Q41" s="366"/>
      <c r="R41" s="361"/>
      <c r="S41" s="1364">
        <f>INDEX(PT_DIFFERENTIATION_NUM_NTAR,MATCH(A41,PT_DIFFERENTIATION_NTAR_ID,0))</f>
        <v>0</v>
      </c>
      <c r="T41" s="304" t="s">
        <v>125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226</v>
      </c>
      <c r="B42" s="1369" t="s">
        <v>227</v>
      </c>
      <c r="C42" s="1369"/>
      <c r="D42" s="1369"/>
      <c r="E42" s="2265"/>
      <c r="F42" s="2264">
        <v>1</v>
      </c>
      <c r="G42" s="1369"/>
      <c r="H42" s="1369"/>
      <c r="I42" s="1369"/>
      <c r="J42" s="1369"/>
      <c r="K42" s="1369"/>
      <c r="L42" s="1370"/>
      <c r="M42" s="1371"/>
      <c r="N42" s="1371"/>
      <c r="O42" s="1371"/>
      <c r="P42" s="1362"/>
      <c r="Q42" s="358"/>
      <c r="R42" s="359"/>
      <c r="S42" s="1364" t="str">
        <f>INDEX(PT_DIFFERENTIATION_NUM_TER,MATCH(B42,PT_DIFFERENTIATION_TER_ID,0))</f>
        <v>.</v>
      </c>
      <c r="T42" s="314" t="s">
        <v>413</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414</v>
      </c>
      <c r="AM42" s="506"/>
      <c r="AN42" s="506" t="str">
        <f>IF(T42="","",T42)</f>
        <v>Территория действия тарифа</v>
      </c>
      <c r="AO42" s="506"/>
      <c r="AP42" s="506"/>
      <c r="AQ42" s="1161">
        <v>23</v>
      </c>
    </row>
    <row customHeight="1" ht="24">
      <c r="A43" s="1369" t="s">
        <v>226</v>
      </c>
      <c r="B43" s="1369" t="s">
        <v>227</v>
      </c>
      <c r="C43" s="1369" t="s">
        <v>228</v>
      </c>
      <c r="D43" s="1369"/>
      <c r="E43" s="2265"/>
      <c r="F43" s="2265"/>
      <c r="G43" s="2264">
        <v>1</v>
      </c>
      <c r="H43" s="1369"/>
      <c r="I43" s="1369"/>
      <c r="J43" s="1369"/>
      <c r="K43" s="1369"/>
      <c r="L43" s="1370"/>
      <c r="M43" s="1371"/>
      <c r="N43" s="1371"/>
      <c r="O43" s="1371"/>
      <c r="P43" s="360"/>
      <c r="Q43" s="358"/>
      <c r="R43" s="359"/>
      <c r="S43" s="1364" t="str">
        <f>INDEX(PT_DIFFERENTIATION_NUM_CS,MATCH(C43,PT_DIFFERENTIATION_CS_ID,0))</f>
        <v>..</v>
      </c>
      <c r="T43" s="315" t="s">
        <v>494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495</v>
      </c>
      <c r="AM43" s="506"/>
      <c r="AN43" s="506" t="str">
        <f>IF(T43="","",T43)</f>
        <v>Наименование централизованной системы холодного водоснабжения</v>
      </c>
      <c r="AO43" s="506"/>
      <c r="AP43" s="506"/>
      <c r="AQ43" s="1161">
        <v>23</v>
      </c>
    </row>
    <row customHeight="1" ht="24">
      <c r="A44" s="1369" t="s">
        <v>226</v>
      </c>
      <c r="B44" s="1369" t="s">
        <v>227</v>
      </c>
      <c r="C44" s="1369" t="s">
        <v>228</v>
      </c>
      <c r="D44" s="1369" t="s">
        <v>508</v>
      </c>
      <c r="E44" s="2265"/>
      <c r="F44" s="2265"/>
      <c r="G44" s="2265"/>
      <c r="H44" s="2265"/>
      <c r="I44" s="2262" t="str">
        <f>S43&amp;".1"</f>
        <v>...1</v>
      </c>
      <c r="J44" s="1369"/>
      <c r="K44" s="1369"/>
      <c r="L44" s="1370"/>
      <c r="P44" s="2263">
        <v>1</v>
      </c>
      <c r="Q44" s="1360"/>
      <c r="R44" s="362"/>
      <c r="S44" s="1364" t="str">
        <f>$I44</f>
        <v>...1</v>
      </c>
      <c r="T44" s="291" t="s">
        <v>496</v>
      </c>
      <c r="U44" s="306"/>
      <c r="V44" s="2356"/>
      <c r="W44" s="2357"/>
      <c r="X44" s="2357"/>
      <c r="Y44" s="2357"/>
      <c r="Z44" s="2357"/>
      <c r="AA44" s="2357"/>
      <c r="AB44" s="2358"/>
      <c r="AC44" s="2359"/>
      <c r="AD44" s="2360"/>
      <c r="AE44" s="2360"/>
      <c r="AF44" s="2360"/>
      <c r="AG44" s="2360"/>
      <c r="AH44" s="2360"/>
      <c r="AI44" s="2360"/>
      <c r="AJ44" s="2361"/>
      <c r="AK44" s="1264" t="s">
        <v>497</v>
      </c>
      <c r="AM44" s="506"/>
      <c r="AN44" s="506" t="str">
        <f>IF(T44="","",T44)</f>
        <v>Наименование признака дифференциации</v>
      </c>
      <c r="AO44" s="506"/>
      <c r="AP44" s="506"/>
      <c r="AQ44" s="1161">
        <v>23</v>
      </c>
    </row>
    <row customHeight="1" ht="24">
      <c r="A45" s="1369" t="s">
        <v>226</v>
      </c>
      <c r="B45" s="1369" t="s">
        <v>227</v>
      </c>
      <c r="C45" s="1369" t="s">
        <v>228</v>
      </c>
      <c r="D45" s="1369" t="s">
        <v>508</v>
      </c>
      <c r="E45" s="2265"/>
      <c r="F45" s="2265"/>
      <c r="G45" s="2265"/>
      <c r="H45" s="2265"/>
      <c r="I45" s="2292"/>
      <c r="J45" s="2262" t="str">
        <f>I44&amp;".1"</f>
        <v>...1.1</v>
      </c>
      <c r="K45" s="1369"/>
      <c r="L45" s="1370" t="s">
        <v>422</v>
      </c>
      <c r="P45" s="2263"/>
      <c r="Q45" s="2263">
        <v>1</v>
      </c>
      <c r="R45" s="363"/>
      <c r="S45" s="1364" t="str">
        <f>$J45</f>
        <v>...1.1</v>
      </c>
      <c r="T45" s="292" t="s">
        <v>423</v>
      </c>
      <c r="U45" s="306"/>
      <c r="V45" s="2251"/>
      <c r="W45" s="2252"/>
      <c r="X45" s="2252"/>
      <c r="Y45" s="2252"/>
      <c r="Z45" s="2252"/>
      <c r="AA45" s="2252"/>
      <c r="AB45" s="2253"/>
      <c r="AC45" s="2251"/>
      <c r="AD45" s="2252"/>
      <c r="AE45" s="2252"/>
      <c r="AF45" s="2252"/>
      <c r="AG45" s="2252"/>
      <c r="AH45" s="2252"/>
      <c r="AI45" s="2252"/>
      <c r="AJ45" s="2253"/>
      <c r="AK45" s="1313" t="s">
        <v>498</v>
      </c>
      <c r="AM45" s="506"/>
      <c r="AN45" s="506" t="str">
        <f>IF(T45="","",T45)</f>
        <v>Группа потребителей</v>
      </c>
      <c r="AO45" s="506"/>
      <c r="AP45" s="506"/>
      <c r="AQ45" s="1161">
        <v>23</v>
      </c>
    </row>
    <row customHeight="1" ht="24">
      <c r="A46" s="1369" t="s">
        <v>226</v>
      </c>
      <c r="B46" s="1369" t="s">
        <v>227</v>
      </c>
      <c r="C46" s="1369" t="s">
        <v>228</v>
      </c>
      <c r="D46" s="1369" t="s">
        <v>508</v>
      </c>
      <c r="E46" s="2265"/>
      <c r="F46" s="2265"/>
      <c r="G46" s="2265"/>
      <c r="H46" s="2265"/>
      <c r="I46" s="2292"/>
      <c r="J46" s="2292"/>
      <c r="K46" s="2262" t="str">
        <f>J45&amp;".1"</f>
        <v>...1.1.1</v>
      </c>
      <c r="L46" s="1370"/>
      <c r="P46" s="2263"/>
      <c r="Q46" s="2263"/>
      <c r="R46" s="363">
        <v>1</v>
      </c>
      <c r="S46" s="1364" t="str">
        <f>$K46</f>
        <v>...1.1.1</v>
      </c>
      <c r="T46" s="1443"/>
      <c r="U46" s="306"/>
      <c r="V46" s="1366"/>
      <c r="W46" s="1366"/>
      <c r="X46" s="1367"/>
      <c r="Y46" s="2273"/>
      <c r="Z46" s="2274" t="s">
        <v>62</v>
      </c>
      <c r="AA46" s="2273"/>
      <c r="AB46" s="2274" t="s">
        <v>62</v>
      </c>
      <c r="AC46" s="757"/>
      <c r="AD46" s="757"/>
      <c r="AE46" s="1263"/>
      <c r="AF46" s="2271"/>
      <c r="AG46" s="2113" t="s">
        <v>62</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226</v>
      </c>
      <c r="B47" s="1369" t="s">
        <v>227</v>
      </c>
      <c r="C47" s="1369" t="s">
        <v>228</v>
      </c>
      <c r="D47" s="1369" t="s">
        <v>508</v>
      </c>
      <c r="E47" s="2265"/>
      <c r="F47" s="2265"/>
      <c r="G47" s="2265"/>
      <c r="H47" s="2265"/>
      <c r="I47" s="2292"/>
      <c r="J47" s="2292"/>
      <c r="K47" s="2262"/>
      <c r="L47" s="1370"/>
      <c r="P47" s="2263"/>
      <c r="Q47" s="2263"/>
      <c r="R47" s="363"/>
      <c r="S47" s="1365"/>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226</v>
      </c>
      <c r="B48" s="1369" t="s">
        <v>227</v>
      </c>
      <c r="C48" s="1369" t="s">
        <v>228</v>
      </c>
      <c r="D48" s="1369" t="s">
        <v>508</v>
      </c>
      <c r="E48" s="2265"/>
      <c r="F48" s="2265"/>
      <c r="G48" s="2265"/>
      <c r="H48" s="2265"/>
      <c r="I48" s="2292"/>
      <c r="J48" s="2262"/>
      <c r="K48" s="1369"/>
      <c r="L48" s="1370"/>
      <c r="P48" s="2263"/>
      <c r="Q48" s="2263"/>
      <c r="R48" s="362"/>
      <c r="S48" s="1284"/>
      <c r="T48" s="293" t="s">
        <v>499</v>
      </c>
      <c r="U48" s="373"/>
      <c r="V48" s="373"/>
      <c r="W48" s="373"/>
      <c r="X48" s="373"/>
      <c r="Y48" s="373"/>
      <c r="Z48" s="373"/>
      <c r="AA48" s="373"/>
      <c r="AB48" s="373"/>
      <c r="AC48" s="373"/>
      <c r="AD48" s="373"/>
      <c r="AE48" s="373"/>
      <c r="AF48" s="373"/>
      <c r="AG48" s="373"/>
      <c r="AH48" s="373"/>
      <c r="AI48" s="373"/>
      <c r="AJ48" s="373"/>
      <c r="AK48" s="1264" t="s">
        <v>500</v>
      </c>
      <c r="AM48" s="506"/>
      <c r="AN48" s="506" t="str">
        <f>IF(T48="","",T48)</f>
        <v>Добавить значение признака дифференциации</v>
      </c>
      <c r="AO48" s="506"/>
      <c r="AP48" s="506"/>
      <c r="AQ48" s="1161">
        <v>20</v>
      </c>
    </row>
    <row customHeight="1" ht="22.049999999999997">
      <c r="A49" s="1369" t="s">
        <v>226</v>
      </c>
      <c r="B49" s="1369" t="s">
        <v>227</v>
      </c>
      <c r="C49" s="1369" t="s">
        <v>228</v>
      </c>
      <c r="D49" s="1369" t="s">
        <v>508</v>
      </c>
      <c r="E49" s="2265"/>
      <c r="F49" s="2265"/>
      <c r="G49" s="2265"/>
      <c r="H49" s="2265"/>
      <c r="I49" s="2262"/>
      <c r="J49" s="1369"/>
      <c r="K49" s="1369"/>
      <c r="L49" s="1370"/>
      <c r="P49" s="2263"/>
      <c r="Q49" s="1360"/>
      <c r="R49" s="362"/>
      <c r="S49" s="1284"/>
      <c r="T49" s="371" t="s">
        <v>428</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226</v>
      </c>
      <c r="B50" s="1369" t="s">
        <v>227</v>
      </c>
      <c r="C50" s="1369" t="s">
        <v>228</v>
      </c>
      <c r="D50" s="1369" t="s">
        <v>508</v>
      </c>
      <c r="E50" s="2265"/>
      <c r="F50" s="2265"/>
      <c r="G50" s="2265"/>
      <c r="H50" s="2264"/>
      <c r="I50" s="1369"/>
      <c r="J50" s="1369"/>
      <c r="K50" s="1369"/>
      <c r="L50" s="1370"/>
      <c r="M50" s="1371"/>
      <c r="N50" s="1371"/>
      <c r="O50" s="543"/>
      <c r="P50" s="366"/>
      <c r="Q50" s="381"/>
      <c r="R50" s="361"/>
      <c r="S50" s="1284"/>
      <c r="T50" s="378" t="s">
        <v>501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226</v>
      </c>
      <c r="B51" s="1349" t="s">
        <v>227</v>
      </c>
      <c r="C51" s="1320"/>
      <c r="D51" s="1320"/>
      <c r="E51" s="2265"/>
      <c r="F51" s="2264"/>
      <c r="G51" s="1320"/>
      <c r="H51" s="1320"/>
      <c r="I51" s="1320"/>
      <c r="J51" s="1320"/>
      <c r="K51" s="1320"/>
      <c r="L51" s="1432"/>
      <c r="M51" s="1327"/>
      <c r="N51" s="1327"/>
      <c r="P51" s="1322"/>
      <c r="Q51" s="1323"/>
      <c r="R51" s="1322"/>
      <c r="S51" s="1328"/>
      <c r="T51" s="1331" t="s">
        <v>251</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226</v>
      </c>
      <c r="B52" s="1349"/>
      <c r="C52" s="1349"/>
      <c r="D52" s="1349"/>
      <c r="E52" s="2264"/>
      <c r="F52" s="1349"/>
      <c r="G52" s="1349"/>
      <c r="H52" s="1349"/>
      <c r="I52" s="1349"/>
      <c r="J52" s="1349"/>
      <c r="K52" s="1349"/>
      <c r="L52" s="1352"/>
      <c r="M52" s="1327"/>
      <c r="N52" s="1327"/>
      <c r="O52" s="524"/>
      <c r="P52" s="386"/>
      <c r="Q52" s="1350"/>
      <c r="R52" s="386"/>
      <c r="S52" s="1328"/>
      <c r="T52" s="1331" t="s">
        <v>252</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32"/>
      <c r="M53" s="1327"/>
      <c r="N53" s="1327"/>
      <c r="P53" s="1322"/>
      <c r="Q53" s="1323"/>
      <c r="R53" s="1322"/>
      <c r="S53" s="1328"/>
      <c r="T53" s="1331" t="s">
        <v>264</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83</v>
      </c>
      <c r="B58" s="1166">
        <v>0</v>
      </c>
      <c r="C58" s="1166">
        <v>0</v>
      </c>
      <c r="D58" s="1166">
        <v>0</v>
      </c>
      <c r="E58" s="1166">
        <v>0</v>
      </c>
      <c r="F58" s="1166">
        <v>0</v>
      </c>
      <c r="G58" s="1166">
        <v>0</v>
      </c>
      <c r="H58" s="1166">
        <v>0</v>
      </c>
      <c r="I58" s="1166">
        <v>0</v>
      </c>
      <c r="J58" s="1166">
        <v>0</v>
      </c>
      <c r="K58" s="1166">
        <v>0</v>
      </c>
      <c r="L58" s="1427">
        <v>0</v>
      </c>
      <c r="M58" s="1368">
        <v>0</v>
      </c>
      <c r="N58" s="1368">
        <v>0</v>
      </c>
      <c r="O58" s="1368">
        <v>0</v>
      </c>
      <c r="P58" s="1357">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E89EBF-F8AE-812A-6093-663BC33307E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125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413</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414</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494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495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496</v>
      </c>
      <c r="U5" s="306"/>
      <c r="V5" s="2356"/>
      <c r="W5" s="2357"/>
      <c r="X5" s="2357"/>
      <c r="Y5" s="2357"/>
      <c r="Z5" s="2357"/>
      <c r="AA5" s="2357"/>
      <c r="AB5" s="2358"/>
      <c r="AC5" s="2359"/>
      <c r="AD5" s="2360"/>
      <c r="AE5" s="2360"/>
      <c r="AF5" s="2360"/>
      <c r="AG5" s="2360"/>
      <c r="AH5" s="2360"/>
      <c r="AI5" s="2360"/>
      <c r="AJ5" s="2361"/>
      <c r="AK5" s="1264" t="s">
        <v>497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422</v>
      </c>
      <c r="P6" s="2263"/>
      <c r="Q6" s="2263">
        <v>1</v>
      </c>
      <c r="R6" s="363"/>
      <c r="S6" s="1463">
        <f>$J6</f>
      </c>
      <c r="T6" s="292" t="s">
        <v>423</v>
      </c>
      <c r="U6" s="306"/>
      <c r="V6" s="2251"/>
      <c r="W6" s="2252"/>
      <c r="X6" s="2252"/>
      <c r="Y6" s="2252"/>
      <c r="Z6" s="2252"/>
      <c r="AA6" s="2252"/>
      <c r="AB6" s="2253"/>
      <c r="AC6" s="2251"/>
      <c r="AD6" s="2252"/>
      <c r="AE6" s="2252"/>
      <c r="AF6" s="2252"/>
      <c r="AG6" s="2252"/>
      <c r="AH6" s="2252"/>
      <c r="AI6" s="2252"/>
      <c r="AJ6" s="2253"/>
      <c r="AK6" s="1313" t="s">
        <v>498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62</v>
      </c>
      <c r="AA7" s="2271"/>
      <c r="AB7" s="2113" t="s">
        <v>62</v>
      </c>
      <c r="AC7" s="757"/>
      <c r="AD7" s="757"/>
      <c r="AE7" s="1263"/>
      <c r="AF7" s="2271"/>
      <c r="AG7" s="2113" t="s">
        <v>62</v>
      </c>
      <c r="AH7" s="2293"/>
      <c r="AI7" s="2113" t="s">
        <v>62</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499</v>
      </c>
      <c r="U9" s="373"/>
      <c r="V9" s="373"/>
      <c r="W9" s="373"/>
      <c r="X9" s="373"/>
      <c r="Y9" s="373"/>
      <c r="Z9" s="373"/>
      <c r="AA9" s="373"/>
      <c r="AB9" s="373"/>
      <c r="AC9" s="373"/>
      <c r="AD9" s="373"/>
      <c r="AE9" s="373"/>
      <c r="AF9" s="373"/>
      <c r="AG9" s="373"/>
      <c r="AH9" s="373"/>
      <c r="AI9" s="373"/>
      <c r="AJ9" s="373"/>
      <c r="AK9" s="1264" t="s">
        <v>500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428</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501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251</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252</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62</v>
      </c>
      <c r="AH15" s="2273"/>
      <c r="AI15" s="2274" t="s">
        <v>62</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431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432</v>
      </c>
      <c r="P20" s="1368"/>
      <c r="Q20" s="1448"/>
      <c r="R20" s="1448"/>
      <c r="S20" s="735"/>
      <c r="T20" s="1166" t="s">
        <v>433</v>
      </c>
      <c r="Z20" s="192" t="s">
        <v>434</v>
      </c>
      <c r="AB20" s="192" t="s">
        <v>435</v>
      </c>
      <c r="AC20" s="1166" t="s">
        <v>433</v>
      </c>
      <c r="AG20" s="192" t="s">
        <v>436</v>
      </c>
      <c r="AI20" s="192" t="s">
        <v>435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1249"/>
      <c r="AQ25" s="1161">
        <v>14</v>
      </c>
    </row>
    <row customHeight="1" ht="14.25">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2257"/>
      <c r="AB27" s="332"/>
      <c r="AC27" s="2257" t="str">
        <f>IF(TITLE_NAME_OR_PR_CHANGE="",IF(TITLE_NAME_OR_PR="","",TITLE_NAME_OR_PR),TITLE_NAME_OR_PR_CHANGE)</f>
        <v>Государственный комитет по ценовой политике Республики Саха (Якутия)</v>
      </c>
      <c r="AD27" s="2257"/>
      <c r="AE27" s="2257"/>
      <c r="AF27" s="2257"/>
      <c r="AG27" s="2257"/>
      <c r="AH27" s="2257"/>
      <c r="AI27" s="332"/>
      <c r="AJ27" s="332"/>
      <c r="AK27" s="286"/>
      <c r="AL27" s="374"/>
      <c r="AM27" s="374"/>
      <c r="AN27" s="374"/>
      <c r="AO27" s="374"/>
      <c r="AP27" s="374"/>
      <c r="AQ27" s="424">
        <v>0</v>
      </c>
    </row>
    <row s="1859" customFormat="1" customHeight="1" ht="18.75">
      <c r="A28" s="1374"/>
      <c r="B28" s="1374"/>
      <c r="C28" s="1374"/>
      <c r="D28" s="1374"/>
      <c r="E28" s="1374"/>
      <c r="F28" s="1374"/>
      <c r="G28" s="1374"/>
      <c r="H28" s="1374"/>
      <c r="I28" s="1374"/>
      <c r="J28" s="1374"/>
      <c r="K28" s="1374"/>
      <c r="L28" s="1375"/>
      <c r="M28" s="1374"/>
      <c r="N28" s="1374"/>
      <c r="O28" s="1374"/>
      <c r="S28" s="2256" t="s">
        <v>437</v>
      </c>
      <c r="T28" s="2256"/>
      <c r="U28" s="1378"/>
      <c r="V28" s="2270" t="str">
        <f>IF(TITLE_DATE_PR_CHANGE="",IF(TITLE_DATE_PR="","",TITLE_DATE_PR),TITLE_DATE_PR_CHANGE)</f>
        <v>46003.502546296295</v>
      </c>
      <c r="W28" s="2270"/>
      <c r="X28" s="2270"/>
      <c r="Y28" s="2270"/>
      <c r="Z28" s="2270"/>
      <c r="AA28" s="2270"/>
      <c r="AB28" s="332"/>
      <c r="AC28" s="2270" t="str">
        <f>IF(TITLE_DATE_PR_CHANGE="",IF(TITLE_DATE_PR="","",TITLE_DATE_PR),TITLE_DATE_PR_CHANGE)</f>
        <v>46003.502546296295</v>
      </c>
      <c r="AD28" s="2270"/>
      <c r="AE28" s="2270"/>
      <c r="AF28" s="2270"/>
      <c r="AG28" s="2270"/>
      <c r="AH28" s="2270"/>
      <c r="AI28" s="332"/>
      <c r="AJ28" s="332"/>
      <c r="AK28" s="286"/>
      <c r="AL28" s="374"/>
      <c r="AM28" s="374"/>
      <c r="AN28" s="374"/>
      <c r="AO28" s="374"/>
      <c r="AP28" s="374"/>
      <c r="AQ28" s="424">
        <v>0</v>
      </c>
    </row>
    <row s="1859" customFormat="1" customHeight="1" ht="18.75">
      <c r="A29" s="1374"/>
      <c r="B29" s="1374"/>
      <c r="C29" s="1374"/>
      <c r="D29" s="1374"/>
      <c r="E29" s="1374"/>
      <c r="F29" s="1374"/>
      <c r="G29" s="1374"/>
      <c r="H29" s="1374"/>
      <c r="I29" s="1374"/>
      <c r="J29" s="1374"/>
      <c r="K29" s="1374"/>
      <c r="L29" s="1375"/>
      <c r="M29" s="1374"/>
      <c r="N29" s="1374"/>
      <c r="O29" s="1374"/>
      <c r="S29" s="2256" t="s">
        <v>438</v>
      </c>
      <c r="T29" s="2256"/>
      <c r="U29" s="1378"/>
      <c r="V29" s="2257" t="str">
        <f>IF(TITLE_NUMBER_PR_CHANGE="",IF(TITLE_NUMBER_PR="","",TITLE_NUMBER_PR),TITLE_NUMBER_PR_CHANGE)</f>
        <v>№ 222</v>
      </c>
      <c r="W29" s="2257"/>
      <c r="X29" s="2257"/>
      <c r="Y29" s="2257"/>
      <c r="Z29" s="2257"/>
      <c r="AA29" s="2257"/>
      <c r="AB29" s="332"/>
      <c r="AC29" s="2257" t="str">
        <f>IF(TITLE_NUMBER_PR_CHANGE="",IF(TITLE_NUMBER_PR="","",TITLE_NUMBER_PR),TITLE_NUMBER_PR_CHANGE)</f>
        <v>№ 222</v>
      </c>
      <c r="AD29" s="2257"/>
      <c r="AE29" s="2257"/>
      <c r="AF29" s="2257"/>
      <c r="AG29" s="2257"/>
      <c r="AH29" s="2257"/>
      <c r="AI29" s="332"/>
      <c r="AJ29" s="332"/>
      <c r="AK29" s="286"/>
      <c r="AL29" s="374"/>
      <c r="AM29" s="374"/>
      <c r="AN29" s="374"/>
      <c r="AO29" s="374"/>
      <c r="AP29" s="374"/>
      <c r="AQ29" s="424">
        <v>0</v>
      </c>
    </row>
    <row s="1859" customFormat="1" customHeight="1" ht="18.75">
      <c r="A30" s="1374"/>
      <c r="B30" s="1374"/>
      <c r="C30" s="1374"/>
      <c r="D30" s="1374"/>
      <c r="E30" s="1374"/>
      <c r="F30" s="1374"/>
      <c r="G30" s="1374"/>
      <c r="H30" s="1374"/>
      <c r="I30" s="1374"/>
      <c r="J30" s="1374"/>
      <c r="K30" s="1374"/>
      <c r="L30" s="1375"/>
      <c r="M30" s="1374"/>
      <c r="N30" s="1374"/>
      <c r="O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2257"/>
      <c r="AB30" s="332"/>
      <c r="AC30" s="2257" t="str">
        <f>IF(TITLE_IST_PUB_CHANGE="",IF(TITLE_IST_PUB="","",TITLE_IST_PUB),TITLE_IST_PUB_CHANGE)</f>
        <v>Официальный интернет-портал правовой информации http://pravo.gov.ru/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439</v>
      </c>
      <c r="T32" s="2256"/>
      <c r="U32" s="1378"/>
      <c r="V32" s="2270" t="str">
        <f>IF(TITLE_DATE_PR_CHANGE="",IF(TITLE_DATE_PR="","",TITLE_DATE_PR),TITLE_DATE_PR_CHANGE)</f>
        <v>46003.502546296295</v>
      </c>
      <c r="W32" s="2270"/>
      <c r="X32" s="2270"/>
      <c r="Y32" s="2270"/>
      <c r="Z32" s="2270"/>
      <c r="AA32" s="2270"/>
      <c r="AB32" s="332"/>
      <c r="AC32" s="2270" t="str">
        <f>IF(TITLE_DATE_PR_CHANGE="",IF(TITLE_DATE_PR="","",TITLE_DATE_PR),TITLE_DATE_PR_CHANGE)</f>
        <v>46003.502546296295</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440</v>
      </c>
      <c r="T33" s="2256"/>
      <c r="U33" s="1378"/>
      <c r="V33" s="2257" t="str">
        <f>IF(TITLE_NUMBER_PR_CHANGE="",IF(TITLE_NUMBER_PR="","",TITLE_NUMBER_PR),TITLE_NUMBER_PR_CHANGE)</f>
        <v>№ 222</v>
      </c>
      <c r="W33" s="2257"/>
      <c r="X33" s="2257"/>
      <c r="Y33" s="2257"/>
      <c r="Z33" s="2257"/>
      <c r="AA33" s="2257"/>
      <c r="AB33" s="332"/>
      <c r="AC33" s="2257" t="str">
        <f>IF(TITLE_NUMBER_PR_CHANGE="",IF(TITLE_NUMBER_PR="","",TITLE_NUMBER_PR),TITLE_NUMBER_PR_CHANGE)</f>
        <v>№ 222</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441</v>
      </c>
      <c r="AC34" s="332"/>
      <c r="AD34" s="332"/>
      <c r="AE34" s="332"/>
      <c r="AF34" s="332"/>
      <c r="AG34" s="332"/>
      <c r="AH34" s="332"/>
      <c r="AI34" s="284" t="s">
        <v>441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316</v>
      </c>
      <c r="T36" s="2133"/>
      <c r="U36" s="2133"/>
      <c r="V36" s="2133"/>
      <c r="W36" s="2133"/>
      <c r="X36" s="2133"/>
      <c r="Y36" s="2133"/>
      <c r="Z36" s="2133"/>
      <c r="AA36" s="2133"/>
      <c r="AB36" s="2133"/>
      <c r="AC36" s="2133"/>
      <c r="AD36" s="2133"/>
      <c r="AE36" s="2133"/>
      <c r="AF36" s="2133"/>
      <c r="AG36" s="2133"/>
      <c r="AH36" s="2133"/>
      <c r="AI36" s="2133"/>
      <c r="AJ36" s="2133"/>
      <c r="AK36" s="2133" t="s">
        <v>317</v>
      </c>
      <c r="AQ36" s="1161">
        <v>14</v>
      </c>
    </row>
    <row customHeight="1" ht="14.699999999999998">
      <c r="Q37" s="382"/>
      <c r="R37" s="382"/>
      <c r="S37" s="2279" t="s">
        <v>89</v>
      </c>
      <c r="T37" s="2215" t="s">
        <v>442</v>
      </c>
      <c r="U37" s="307"/>
      <c r="V37" s="2280" t="s">
        <v>443</v>
      </c>
      <c r="W37" s="2281"/>
      <c r="X37" s="2281"/>
      <c r="Y37" s="2281"/>
      <c r="Z37" s="2281"/>
      <c r="AA37" s="2282"/>
      <c r="AB37" s="2283" t="s">
        <v>444</v>
      </c>
      <c r="AC37" s="2280" t="s">
        <v>443</v>
      </c>
      <c r="AD37" s="2281"/>
      <c r="AE37" s="2281"/>
      <c r="AF37" s="2281"/>
      <c r="AG37" s="2281"/>
      <c r="AH37" s="2282"/>
      <c r="AI37" s="2283" t="s">
        <v>445</v>
      </c>
      <c r="AJ37" s="2286" t="s">
        <v>446</v>
      </c>
      <c r="AK37" s="2133"/>
      <c r="AQ37" s="1161">
        <v>14</v>
      </c>
    </row>
    <row customHeight="1" ht="35.699999999999996">
      <c r="Q38" s="382"/>
      <c r="R38" s="382"/>
      <c r="S38" s="2279"/>
      <c r="T38" s="2215"/>
      <c r="U38" s="1037"/>
      <c r="V38" s="1458" t="s">
        <v>502</v>
      </c>
      <c r="W38" s="2268" t="s">
        <v>449</v>
      </c>
      <c r="X38" s="2269"/>
      <c r="Y38" s="2268" t="s">
        <v>450</v>
      </c>
      <c r="Z38" s="2275"/>
      <c r="AA38" s="2269"/>
      <c r="AB38" s="2284"/>
      <c r="AC38" s="1458" t="s">
        <v>502</v>
      </c>
      <c r="AD38" s="2268" t="s">
        <v>449</v>
      </c>
      <c r="AE38" s="2269"/>
      <c r="AF38" s="2268" t="s">
        <v>450</v>
      </c>
      <c r="AG38" s="2275"/>
      <c r="AH38" s="2269"/>
      <c r="AI38" s="2284"/>
      <c r="AJ38" s="2287"/>
      <c r="AK38" s="2133"/>
      <c r="AQ38" s="1161">
        <v>34</v>
      </c>
    </row>
    <row customHeight="1" ht="35.699999999999996">
      <c r="A39" s="1376"/>
      <c r="B39" s="1376" t="s">
        <v>137</v>
      </c>
      <c r="C39" s="1376" t="s">
        <v>138</v>
      </c>
      <c r="D39" s="1376" t="s">
        <v>139</v>
      </c>
      <c r="E39" s="1370" t="s">
        <v>451</v>
      </c>
      <c r="F39" s="1370" t="s">
        <v>452</v>
      </c>
      <c r="G39" s="1370" t="s">
        <v>453</v>
      </c>
      <c r="H39" s="1370"/>
      <c r="I39" s="1370" t="s">
        <v>503</v>
      </c>
      <c r="J39" s="1370" t="s">
        <v>456</v>
      </c>
      <c r="K39" s="1370" t="s">
        <v>504</v>
      </c>
      <c r="L39" s="1370" t="s">
        <v>432</v>
      </c>
      <c r="Q39" s="382"/>
      <c r="R39" s="382"/>
      <c r="S39" s="2279"/>
      <c r="T39" s="2215"/>
      <c r="U39" s="308"/>
      <c r="V39" s="1458" t="s">
        <v>505</v>
      </c>
      <c r="W39" s="1228" t="s">
        <v>506</v>
      </c>
      <c r="X39" s="1228" t="s">
        <v>507</v>
      </c>
      <c r="Y39" s="1461" t="s">
        <v>460</v>
      </c>
      <c r="Z39" s="2276" t="s">
        <v>461</v>
      </c>
      <c r="AA39" s="2277"/>
      <c r="AB39" s="2285"/>
      <c r="AC39" s="1458" t="s">
        <v>505</v>
      </c>
      <c r="AD39" s="1228" t="s">
        <v>506</v>
      </c>
      <c r="AE39" s="1228" t="s">
        <v>507</v>
      </c>
      <c r="AF39" s="1461" t="s">
        <v>460</v>
      </c>
      <c r="AG39" s="2276" t="s">
        <v>461</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111</v>
      </c>
      <c r="T40" s="1261" t="s">
        <v>112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231</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125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231</v>
      </c>
      <c r="B42" s="1369" t="s">
        <v>232</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413</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414</v>
      </c>
      <c r="AM42" s="506"/>
      <c r="AN42" s="506" t="str">
        <f>IF(T42="","",T42)</f>
        <v>Территория действия тарифа</v>
      </c>
      <c r="AO42" s="506"/>
      <c r="AP42" s="506"/>
      <c r="AQ42" s="1161">
        <v>23</v>
      </c>
    </row>
    <row customHeight="1" ht="24">
      <c r="A43" s="1369" t="s">
        <v>231</v>
      </c>
      <c r="B43" s="1369" t="s">
        <v>232</v>
      </c>
      <c r="C43" s="1369" t="s">
        <v>233</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494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495</v>
      </c>
      <c r="AM43" s="506"/>
      <c r="AN43" s="506" t="str">
        <f>IF(T43="","",T43)</f>
        <v>Наименование централизованной системы холодного водоснабжения</v>
      </c>
      <c r="AO43" s="506"/>
      <c r="AP43" s="506"/>
      <c r="AQ43" s="1161">
        <v>23</v>
      </c>
    </row>
    <row customHeight="1" ht="24">
      <c r="A44" s="1369" t="s">
        <v>231</v>
      </c>
      <c r="B44" s="1369" t="s">
        <v>232</v>
      </c>
      <c r="C44" s="1369" t="s">
        <v>233</v>
      </c>
      <c r="D44" s="1369" t="s">
        <v>509</v>
      </c>
      <c r="E44" s="2265"/>
      <c r="F44" s="2265"/>
      <c r="G44" s="2265"/>
      <c r="H44" s="2265"/>
      <c r="I44" s="2262" t="str">
        <f>S43&amp;".1"</f>
        <v>...1</v>
      </c>
      <c r="J44" s="1369"/>
      <c r="K44" s="1369"/>
      <c r="L44" s="1370"/>
      <c r="P44" s="2263">
        <v>1</v>
      </c>
      <c r="Q44" s="1456"/>
      <c r="R44" s="362"/>
      <c r="S44" s="1463" t="str">
        <f>$I44</f>
        <v>...1</v>
      </c>
      <c r="T44" s="291" t="s">
        <v>496</v>
      </c>
      <c r="U44" s="306"/>
      <c r="V44" s="2356"/>
      <c r="W44" s="2357"/>
      <c r="X44" s="2357"/>
      <c r="Y44" s="2357"/>
      <c r="Z44" s="2357"/>
      <c r="AA44" s="2357"/>
      <c r="AB44" s="2358"/>
      <c r="AC44" s="2359"/>
      <c r="AD44" s="2360"/>
      <c r="AE44" s="2360"/>
      <c r="AF44" s="2360"/>
      <c r="AG44" s="2360"/>
      <c r="AH44" s="2360"/>
      <c r="AI44" s="2360"/>
      <c r="AJ44" s="2361"/>
      <c r="AK44" s="1264" t="s">
        <v>497</v>
      </c>
      <c r="AM44" s="506"/>
      <c r="AN44" s="506" t="str">
        <f>IF(T44="","",T44)</f>
        <v>Наименование признака дифференциации</v>
      </c>
      <c r="AO44" s="506"/>
      <c r="AP44" s="506"/>
      <c r="AQ44" s="1161">
        <v>23</v>
      </c>
    </row>
    <row customHeight="1" ht="24">
      <c r="A45" s="1369" t="s">
        <v>231</v>
      </c>
      <c r="B45" s="1369" t="s">
        <v>232</v>
      </c>
      <c r="C45" s="1369" t="s">
        <v>233</v>
      </c>
      <c r="D45" s="1369" t="s">
        <v>509</v>
      </c>
      <c r="E45" s="2265"/>
      <c r="F45" s="2265"/>
      <c r="G45" s="2265"/>
      <c r="H45" s="2265"/>
      <c r="I45" s="2292"/>
      <c r="J45" s="2262" t="str">
        <f>I44&amp;".1"</f>
        <v>...1.1</v>
      </c>
      <c r="K45" s="1369"/>
      <c r="L45" s="1370" t="s">
        <v>422</v>
      </c>
      <c r="P45" s="2263"/>
      <c r="Q45" s="2263">
        <v>1</v>
      </c>
      <c r="R45" s="363"/>
      <c r="S45" s="1463" t="str">
        <f>$J45</f>
        <v>...1.1</v>
      </c>
      <c r="T45" s="292" t="s">
        <v>423</v>
      </c>
      <c r="U45" s="306"/>
      <c r="V45" s="2251"/>
      <c r="W45" s="2252"/>
      <c r="X45" s="2252"/>
      <c r="Y45" s="2252"/>
      <c r="Z45" s="2252"/>
      <c r="AA45" s="2252"/>
      <c r="AB45" s="2253"/>
      <c r="AC45" s="2251"/>
      <c r="AD45" s="2252"/>
      <c r="AE45" s="2252"/>
      <c r="AF45" s="2252"/>
      <c r="AG45" s="2252"/>
      <c r="AH45" s="2252"/>
      <c r="AI45" s="2252"/>
      <c r="AJ45" s="2253"/>
      <c r="AK45" s="1313" t="s">
        <v>498</v>
      </c>
      <c r="AM45" s="506"/>
      <c r="AN45" s="506" t="str">
        <f>IF(T45="","",T45)</f>
        <v>Группа потребителей</v>
      </c>
      <c r="AO45" s="506"/>
      <c r="AP45" s="506"/>
      <c r="AQ45" s="1161">
        <v>23</v>
      </c>
    </row>
    <row customHeight="1" ht="24">
      <c r="A46" s="1369" t="s">
        <v>231</v>
      </c>
      <c r="B46" s="1369" t="s">
        <v>232</v>
      </c>
      <c r="C46" s="1369" t="s">
        <v>233</v>
      </c>
      <c r="D46" s="1369" t="s">
        <v>509</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62</v>
      </c>
      <c r="AA46" s="2271"/>
      <c r="AB46" s="2113" t="s">
        <v>62</v>
      </c>
      <c r="AC46" s="757"/>
      <c r="AD46" s="757"/>
      <c r="AE46" s="1263"/>
      <c r="AF46" s="2271"/>
      <c r="AG46" s="2113" t="s">
        <v>62</v>
      </c>
      <c r="AH46" s="2293"/>
      <c r="AI46" s="2113" t="s">
        <v>62</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231</v>
      </c>
      <c r="B47" s="1369" t="s">
        <v>232</v>
      </c>
      <c r="C47" s="1369" t="s">
        <v>233</v>
      </c>
      <c r="D47" s="1369" t="s">
        <v>509</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231</v>
      </c>
      <c r="B48" s="1369" t="s">
        <v>232</v>
      </c>
      <c r="C48" s="1369" t="s">
        <v>233</v>
      </c>
      <c r="D48" s="1369" t="s">
        <v>509</v>
      </c>
      <c r="E48" s="2265"/>
      <c r="F48" s="2265"/>
      <c r="G48" s="2265"/>
      <c r="H48" s="2265"/>
      <c r="I48" s="2292"/>
      <c r="J48" s="2262"/>
      <c r="K48" s="1369"/>
      <c r="L48" s="1370"/>
      <c r="P48" s="2263"/>
      <c r="Q48" s="2263"/>
      <c r="R48" s="362"/>
      <c r="S48" s="1284"/>
      <c r="T48" s="293" t="s">
        <v>499</v>
      </c>
      <c r="U48" s="373"/>
      <c r="V48" s="373"/>
      <c r="W48" s="373"/>
      <c r="X48" s="373"/>
      <c r="Y48" s="373"/>
      <c r="Z48" s="373"/>
      <c r="AA48" s="373"/>
      <c r="AB48" s="373"/>
      <c r="AC48" s="373"/>
      <c r="AD48" s="373"/>
      <c r="AE48" s="373"/>
      <c r="AF48" s="373"/>
      <c r="AG48" s="373"/>
      <c r="AH48" s="373"/>
      <c r="AI48" s="373"/>
      <c r="AJ48" s="373"/>
      <c r="AK48" s="1264" t="s">
        <v>500</v>
      </c>
      <c r="AM48" s="506"/>
      <c r="AN48" s="506" t="str">
        <f>IF(T48="","",T48)</f>
        <v>Добавить значение признака дифференциации</v>
      </c>
      <c r="AO48" s="506"/>
      <c r="AP48" s="506"/>
      <c r="AQ48" s="1161">
        <v>20</v>
      </c>
    </row>
    <row customHeight="1" ht="22.049999999999997">
      <c r="A49" s="1369" t="s">
        <v>231</v>
      </c>
      <c r="B49" s="1369" t="s">
        <v>232</v>
      </c>
      <c r="C49" s="1369" t="s">
        <v>233</v>
      </c>
      <c r="D49" s="1369" t="s">
        <v>509</v>
      </c>
      <c r="E49" s="2265"/>
      <c r="F49" s="2265"/>
      <c r="G49" s="2265"/>
      <c r="H49" s="2265"/>
      <c r="I49" s="2262"/>
      <c r="J49" s="1369"/>
      <c r="K49" s="1369"/>
      <c r="L49" s="1370"/>
      <c r="P49" s="2263"/>
      <c r="Q49" s="1456"/>
      <c r="R49" s="362"/>
      <c r="S49" s="1284"/>
      <c r="T49" s="371" t="s">
        <v>428</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231</v>
      </c>
      <c r="B50" s="1369" t="s">
        <v>232</v>
      </c>
      <c r="C50" s="1369" t="s">
        <v>233</v>
      </c>
      <c r="D50" s="1369" t="s">
        <v>509</v>
      </c>
      <c r="E50" s="2265"/>
      <c r="F50" s="2265"/>
      <c r="G50" s="2265"/>
      <c r="H50" s="2264"/>
      <c r="I50" s="1369"/>
      <c r="J50" s="1369"/>
      <c r="K50" s="1369"/>
      <c r="L50" s="1370"/>
      <c r="M50" s="1371"/>
      <c r="N50" s="1371"/>
      <c r="O50" s="543"/>
      <c r="P50" s="366"/>
      <c r="Q50" s="381"/>
      <c r="R50" s="361"/>
      <c r="S50" s="1284"/>
      <c r="T50" s="378" t="s">
        <v>501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231</v>
      </c>
      <c r="B51" s="1349" t="s">
        <v>232</v>
      </c>
      <c r="C51" s="1320"/>
      <c r="D51" s="1320"/>
      <c r="E51" s="2265"/>
      <c r="F51" s="2264"/>
      <c r="G51" s="1320"/>
      <c r="H51" s="1320"/>
      <c r="I51" s="1320"/>
      <c r="J51" s="1320"/>
      <c r="K51" s="1320"/>
      <c r="L51" s="1464"/>
      <c r="M51" s="1327"/>
      <c r="N51" s="1327"/>
      <c r="P51" s="1322"/>
      <c r="Q51" s="1323"/>
      <c r="R51" s="1322"/>
      <c r="S51" s="1328"/>
      <c r="T51" s="1331" t="s">
        <v>251</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231</v>
      </c>
      <c r="B52" s="1349"/>
      <c r="C52" s="1349"/>
      <c r="D52" s="1349"/>
      <c r="E52" s="2264"/>
      <c r="F52" s="1349"/>
      <c r="G52" s="1349"/>
      <c r="H52" s="1349"/>
      <c r="I52" s="1349"/>
      <c r="J52" s="1349"/>
      <c r="K52" s="1349"/>
      <c r="L52" s="1352"/>
      <c r="M52" s="1327"/>
      <c r="N52" s="1327"/>
      <c r="O52" s="524"/>
      <c r="P52" s="386"/>
      <c r="Q52" s="1350"/>
      <c r="R52" s="386"/>
      <c r="S52" s="1328"/>
      <c r="T52" s="1331" t="s">
        <v>252</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264</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83</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61058A-002F-5ADB-FCA1-B71DD09F302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125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413</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414</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494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495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496</v>
      </c>
      <c r="U5" s="306"/>
      <c r="V5" s="2356"/>
      <c r="W5" s="2357"/>
      <c r="X5" s="2357"/>
      <c r="Y5" s="2357"/>
      <c r="Z5" s="2357"/>
      <c r="AA5" s="2357"/>
      <c r="AB5" s="2358"/>
      <c r="AC5" s="2359"/>
      <c r="AD5" s="2360"/>
      <c r="AE5" s="2360"/>
      <c r="AF5" s="2360"/>
      <c r="AG5" s="2360"/>
      <c r="AH5" s="2360"/>
      <c r="AI5" s="2360"/>
      <c r="AJ5" s="2361"/>
      <c r="AK5" s="1264" t="s">
        <v>497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422</v>
      </c>
      <c r="P6" s="2263"/>
      <c r="Q6" s="2263">
        <v>1</v>
      </c>
      <c r="R6" s="363"/>
      <c r="S6" s="1463">
        <f>$J6</f>
      </c>
      <c r="T6" s="292" t="s">
        <v>423</v>
      </c>
      <c r="U6" s="306"/>
      <c r="V6" s="2251"/>
      <c r="W6" s="2252"/>
      <c r="X6" s="2252"/>
      <c r="Y6" s="2252"/>
      <c r="Z6" s="2252"/>
      <c r="AA6" s="2252"/>
      <c r="AB6" s="2253"/>
      <c r="AC6" s="2251"/>
      <c r="AD6" s="2252"/>
      <c r="AE6" s="2252"/>
      <c r="AF6" s="2252"/>
      <c r="AG6" s="2252"/>
      <c r="AH6" s="2252"/>
      <c r="AI6" s="2252"/>
      <c r="AJ6" s="2253"/>
      <c r="AK6" s="1313" t="s">
        <v>498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62</v>
      </c>
      <c r="AA7" s="2271"/>
      <c r="AB7" s="2113" t="s">
        <v>62</v>
      </c>
      <c r="AC7" s="757"/>
      <c r="AD7" s="757"/>
      <c r="AE7" s="1263"/>
      <c r="AF7" s="2271"/>
      <c r="AG7" s="2113" t="s">
        <v>62</v>
      </c>
      <c r="AH7" s="2293"/>
      <c r="AI7" s="2113" t="s">
        <v>62</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499</v>
      </c>
      <c r="U9" s="373"/>
      <c r="V9" s="373"/>
      <c r="W9" s="373"/>
      <c r="X9" s="373"/>
      <c r="Y9" s="373"/>
      <c r="Z9" s="373"/>
      <c r="AA9" s="373"/>
      <c r="AB9" s="373"/>
      <c r="AC9" s="373"/>
      <c r="AD9" s="373"/>
      <c r="AE9" s="373"/>
      <c r="AF9" s="373"/>
      <c r="AG9" s="373"/>
      <c r="AH9" s="373"/>
      <c r="AI9" s="373"/>
      <c r="AJ9" s="373"/>
      <c r="AK9" s="1264" t="s">
        <v>500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428</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501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251</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252</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62</v>
      </c>
      <c r="AH15" s="2273"/>
      <c r="AI15" s="2274" t="s">
        <v>62</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431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432</v>
      </c>
      <c r="P20" s="1368"/>
      <c r="Q20" s="1448"/>
      <c r="R20" s="1448"/>
      <c r="S20" s="735"/>
      <c r="T20" s="1166" t="s">
        <v>433</v>
      </c>
      <c r="Z20" s="192" t="s">
        <v>434</v>
      </c>
      <c r="AB20" s="192" t="s">
        <v>435</v>
      </c>
      <c r="AC20" s="1166" t="s">
        <v>433</v>
      </c>
      <c r="AG20" s="192" t="s">
        <v>436</v>
      </c>
      <c r="AI20" s="192" t="s">
        <v>435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1249"/>
      <c r="AQ25" s="1161">
        <v>14</v>
      </c>
    </row>
    <row customHeight="1" ht="14.25">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2257"/>
      <c r="AB27" s="332"/>
      <c r="AC27" s="2257" t="str">
        <f>IF(TITLE_NAME_OR_PR_CHANGE="",IF(TITLE_NAME_OR_PR="","",TITLE_NAME_OR_PR),TITLE_NAME_OR_PR_CHANGE)</f>
        <v>Государственный комитет по ценовой политике Республики Саха (Якутия)</v>
      </c>
      <c r="AD27" s="2257"/>
      <c r="AE27" s="2257"/>
      <c r="AF27" s="2257"/>
      <c r="AG27" s="2257"/>
      <c r="AH27" s="2257"/>
      <c r="AI27" s="332"/>
      <c r="AJ27" s="332"/>
      <c r="AK27" s="286"/>
      <c r="AL27" s="374"/>
      <c r="AM27" s="374"/>
      <c r="AN27" s="374"/>
      <c r="AO27" s="374"/>
      <c r="AP27" s="374"/>
      <c r="AQ27" s="424">
        <v>0</v>
      </c>
    </row>
    <row s="1859" customFormat="1" customHeight="1" ht="18.75">
      <c r="A28" s="1374"/>
      <c r="B28" s="1374"/>
      <c r="C28" s="1374"/>
      <c r="D28" s="1374"/>
      <c r="E28" s="1374"/>
      <c r="F28" s="1374"/>
      <c r="G28" s="1374"/>
      <c r="H28" s="1374"/>
      <c r="I28" s="1374"/>
      <c r="J28" s="1374"/>
      <c r="K28" s="1374"/>
      <c r="L28" s="1375"/>
      <c r="M28" s="1374"/>
      <c r="N28" s="1374"/>
      <c r="O28" s="1374"/>
      <c r="S28" s="2256" t="s">
        <v>437</v>
      </c>
      <c r="T28" s="2256"/>
      <c r="U28" s="1378"/>
      <c r="V28" s="2270" t="str">
        <f>IF(TITLE_DATE_PR_CHANGE="",IF(TITLE_DATE_PR="","",TITLE_DATE_PR),TITLE_DATE_PR_CHANGE)</f>
        <v>46003.502546296295</v>
      </c>
      <c r="W28" s="2270"/>
      <c r="X28" s="2270"/>
      <c r="Y28" s="2270"/>
      <c r="Z28" s="2270"/>
      <c r="AA28" s="2270"/>
      <c r="AB28" s="332"/>
      <c r="AC28" s="2270" t="str">
        <f>IF(TITLE_DATE_PR_CHANGE="",IF(TITLE_DATE_PR="","",TITLE_DATE_PR),TITLE_DATE_PR_CHANGE)</f>
        <v>46003.502546296295</v>
      </c>
      <c r="AD28" s="2270"/>
      <c r="AE28" s="2270"/>
      <c r="AF28" s="2270"/>
      <c r="AG28" s="2270"/>
      <c r="AH28" s="2270"/>
      <c r="AI28" s="332"/>
      <c r="AJ28" s="332"/>
      <c r="AK28" s="286"/>
      <c r="AL28" s="374"/>
      <c r="AM28" s="374"/>
      <c r="AN28" s="374"/>
      <c r="AO28" s="374"/>
      <c r="AP28" s="374"/>
      <c r="AQ28" s="424">
        <v>0</v>
      </c>
    </row>
    <row s="1859" customFormat="1" customHeight="1" ht="18.75">
      <c r="A29" s="1374"/>
      <c r="B29" s="1374"/>
      <c r="C29" s="1374"/>
      <c r="D29" s="1374"/>
      <c r="E29" s="1374"/>
      <c r="F29" s="1374"/>
      <c r="G29" s="1374"/>
      <c r="H29" s="1374"/>
      <c r="I29" s="1374"/>
      <c r="J29" s="1374"/>
      <c r="K29" s="1374"/>
      <c r="L29" s="1375"/>
      <c r="M29" s="1374"/>
      <c r="N29" s="1374"/>
      <c r="O29" s="1374"/>
      <c r="S29" s="2256" t="s">
        <v>438</v>
      </c>
      <c r="T29" s="2256"/>
      <c r="U29" s="1378"/>
      <c r="V29" s="2257" t="str">
        <f>IF(TITLE_NUMBER_PR_CHANGE="",IF(TITLE_NUMBER_PR="","",TITLE_NUMBER_PR),TITLE_NUMBER_PR_CHANGE)</f>
        <v>№ 222</v>
      </c>
      <c r="W29" s="2257"/>
      <c r="X29" s="2257"/>
      <c r="Y29" s="2257"/>
      <c r="Z29" s="2257"/>
      <c r="AA29" s="2257"/>
      <c r="AB29" s="332"/>
      <c r="AC29" s="2257" t="str">
        <f>IF(TITLE_NUMBER_PR_CHANGE="",IF(TITLE_NUMBER_PR="","",TITLE_NUMBER_PR),TITLE_NUMBER_PR_CHANGE)</f>
        <v>№ 222</v>
      </c>
      <c r="AD29" s="2257"/>
      <c r="AE29" s="2257"/>
      <c r="AF29" s="2257"/>
      <c r="AG29" s="2257"/>
      <c r="AH29" s="2257"/>
      <c r="AI29" s="332"/>
      <c r="AJ29" s="332"/>
      <c r="AK29" s="286"/>
      <c r="AL29" s="374"/>
      <c r="AM29" s="374"/>
      <c r="AN29" s="374"/>
      <c r="AO29" s="374"/>
      <c r="AP29" s="374"/>
      <c r="AQ29" s="424">
        <v>0</v>
      </c>
    </row>
    <row s="1859" customFormat="1" customHeight="1" ht="18.75">
      <c r="A30" s="1374"/>
      <c r="B30" s="1374"/>
      <c r="C30" s="1374"/>
      <c r="D30" s="1374"/>
      <c r="E30" s="1374"/>
      <c r="F30" s="1374"/>
      <c r="G30" s="1374"/>
      <c r="H30" s="1374"/>
      <c r="I30" s="1374"/>
      <c r="J30" s="1374"/>
      <c r="K30" s="1374"/>
      <c r="L30" s="1375"/>
      <c r="M30" s="1374"/>
      <c r="N30" s="1374"/>
      <c r="O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2257"/>
      <c r="AB30" s="332"/>
      <c r="AC30" s="2257" t="str">
        <f>IF(TITLE_IST_PUB_CHANGE="",IF(TITLE_IST_PUB="","",TITLE_IST_PUB),TITLE_IST_PUB_CHANGE)</f>
        <v>Официальный интернет-портал правовой информации http://pravo.gov.ru/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439</v>
      </c>
      <c r="T32" s="2256"/>
      <c r="U32" s="1378"/>
      <c r="V32" s="2270" t="str">
        <f>IF(TITLE_DATE_PR_CHANGE="",IF(TITLE_DATE_PR="","",TITLE_DATE_PR),TITLE_DATE_PR_CHANGE)</f>
        <v>46003.502546296295</v>
      </c>
      <c r="W32" s="2270"/>
      <c r="X32" s="2270"/>
      <c r="Y32" s="2270"/>
      <c r="Z32" s="2270"/>
      <c r="AA32" s="2270"/>
      <c r="AB32" s="332"/>
      <c r="AC32" s="2270" t="str">
        <f>IF(TITLE_DATE_PR_CHANGE="",IF(TITLE_DATE_PR="","",TITLE_DATE_PR),TITLE_DATE_PR_CHANGE)</f>
        <v>46003.502546296295</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440</v>
      </c>
      <c r="T33" s="2256"/>
      <c r="U33" s="1378"/>
      <c r="V33" s="2257" t="str">
        <f>IF(TITLE_NUMBER_PR_CHANGE="",IF(TITLE_NUMBER_PR="","",TITLE_NUMBER_PR),TITLE_NUMBER_PR_CHANGE)</f>
        <v>№ 222</v>
      </c>
      <c r="W33" s="2257"/>
      <c r="X33" s="2257"/>
      <c r="Y33" s="2257"/>
      <c r="Z33" s="2257"/>
      <c r="AA33" s="2257"/>
      <c r="AB33" s="332"/>
      <c r="AC33" s="2257" t="str">
        <f>IF(TITLE_NUMBER_PR_CHANGE="",IF(TITLE_NUMBER_PR="","",TITLE_NUMBER_PR),TITLE_NUMBER_PR_CHANGE)</f>
        <v>№ 222</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441</v>
      </c>
      <c r="AC34" s="332"/>
      <c r="AD34" s="332"/>
      <c r="AE34" s="332"/>
      <c r="AF34" s="332"/>
      <c r="AG34" s="332"/>
      <c r="AH34" s="332"/>
      <c r="AI34" s="284" t="s">
        <v>441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316</v>
      </c>
      <c r="T36" s="2133"/>
      <c r="U36" s="2133"/>
      <c r="V36" s="2133"/>
      <c r="W36" s="2133"/>
      <c r="X36" s="2133"/>
      <c r="Y36" s="2133"/>
      <c r="Z36" s="2133"/>
      <c r="AA36" s="2133"/>
      <c r="AB36" s="2133"/>
      <c r="AC36" s="2133"/>
      <c r="AD36" s="2133"/>
      <c r="AE36" s="2133"/>
      <c r="AF36" s="2133"/>
      <c r="AG36" s="2133"/>
      <c r="AH36" s="2133"/>
      <c r="AI36" s="2133"/>
      <c r="AJ36" s="2133"/>
      <c r="AK36" s="2133" t="s">
        <v>317</v>
      </c>
      <c r="AQ36" s="1161">
        <v>14</v>
      </c>
    </row>
    <row customHeight="1" ht="14.699999999999998">
      <c r="Q37" s="382"/>
      <c r="R37" s="382"/>
      <c r="S37" s="2279" t="s">
        <v>89</v>
      </c>
      <c r="T37" s="2215" t="s">
        <v>442</v>
      </c>
      <c r="U37" s="307"/>
      <c r="V37" s="2280" t="s">
        <v>443</v>
      </c>
      <c r="W37" s="2281"/>
      <c r="X37" s="2281"/>
      <c r="Y37" s="2281"/>
      <c r="Z37" s="2281"/>
      <c r="AA37" s="2282"/>
      <c r="AB37" s="2283" t="s">
        <v>444</v>
      </c>
      <c r="AC37" s="2280" t="s">
        <v>443</v>
      </c>
      <c r="AD37" s="2281"/>
      <c r="AE37" s="2281"/>
      <c r="AF37" s="2281"/>
      <c r="AG37" s="2281"/>
      <c r="AH37" s="2282"/>
      <c r="AI37" s="2283" t="s">
        <v>445</v>
      </c>
      <c r="AJ37" s="2286" t="s">
        <v>446</v>
      </c>
      <c r="AK37" s="2133"/>
      <c r="AQ37" s="1161">
        <v>14</v>
      </c>
    </row>
    <row customHeight="1" ht="35.699999999999996">
      <c r="Q38" s="382"/>
      <c r="R38" s="382"/>
      <c r="S38" s="2279"/>
      <c r="T38" s="2215"/>
      <c r="U38" s="1037"/>
      <c r="V38" s="1458" t="s">
        <v>502</v>
      </c>
      <c r="W38" s="2268" t="s">
        <v>449</v>
      </c>
      <c r="X38" s="2269"/>
      <c r="Y38" s="2268" t="s">
        <v>450</v>
      </c>
      <c r="Z38" s="2275"/>
      <c r="AA38" s="2269"/>
      <c r="AB38" s="2284"/>
      <c r="AC38" s="1458" t="s">
        <v>502</v>
      </c>
      <c r="AD38" s="2268" t="s">
        <v>449</v>
      </c>
      <c r="AE38" s="2269"/>
      <c r="AF38" s="2268" t="s">
        <v>450</v>
      </c>
      <c r="AG38" s="2275"/>
      <c r="AH38" s="2269"/>
      <c r="AI38" s="2284"/>
      <c r="AJ38" s="2287"/>
      <c r="AK38" s="2133"/>
      <c r="AQ38" s="1161">
        <v>34</v>
      </c>
    </row>
    <row customHeight="1" ht="35.699999999999996">
      <c r="A39" s="1376"/>
      <c r="B39" s="1376" t="s">
        <v>137</v>
      </c>
      <c r="C39" s="1376" t="s">
        <v>138</v>
      </c>
      <c r="D39" s="1376" t="s">
        <v>139</v>
      </c>
      <c r="E39" s="1370" t="s">
        <v>451</v>
      </c>
      <c r="F39" s="1370" t="s">
        <v>452</v>
      </c>
      <c r="G39" s="1370" t="s">
        <v>453</v>
      </c>
      <c r="H39" s="1370"/>
      <c r="I39" s="1370" t="s">
        <v>503</v>
      </c>
      <c r="J39" s="1370" t="s">
        <v>456</v>
      </c>
      <c r="K39" s="1370" t="s">
        <v>504</v>
      </c>
      <c r="L39" s="1370" t="s">
        <v>432</v>
      </c>
      <c r="Q39" s="382"/>
      <c r="R39" s="382"/>
      <c r="S39" s="2279"/>
      <c r="T39" s="2215"/>
      <c r="U39" s="308"/>
      <c r="V39" s="1458" t="s">
        <v>505</v>
      </c>
      <c r="W39" s="1228" t="s">
        <v>506</v>
      </c>
      <c r="X39" s="1228" t="s">
        <v>507</v>
      </c>
      <c r="Y39" s="1461" t="s">
        <v>460</v>
      </c>
      <c r="Z39" s="2276" t="s">
        <v>461</v>
      </c>
      <c r="AA39" s="2277"/>
      <c r="AB39" s="2285"/>
      <c r="AC39" s="1458" t="s">
        <v>505</v>
      </c>
      <c r="AD39" s="1228" t="s">
        <v>506</v>
      </c>
      <c r="AE39" s="1228" t="s">
        <v>507</v>
      </c>
      <c r="AF39" s="1461" t="s">
        <v>460</v>
      </c>
      <c r="AG39" s="2276" t="s">
        <v>461</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111</v>
      </c>
      <c r="T40" s="1261" t="s">
        <v>112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236</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125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236</v>
      </c>
      <c r="B42" s="1369" t="s">
        <v>237</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413</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414</v>
      </c>
      <c r="AM42" s="506"/>
      <c r="AN42" s="506" t="str">
        <f>IF(T42="","",T42)</f>
        <v>Территория действия тарифа</v>
      </c>
      <c r="AO42" s="506"/>
      <c r="AP42" s="506"/>
      <c r="AQ42" s="1161">
        <v>23</v>
      </c>
    </row>
    <row customHeight="1" ht="24">
      <c r="A43" s="1369" t="s">
        <v>236</v>
      </c>
      <c r="B43" s="1369" t="s">
        <v>237</v>
      </c>
      <c r="C43" s="1369" t="s">
        <v>238</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494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495</v>
      </c>
      <c r="AM43" s="506"/>
      <c r="AN43" s="506" t="str">
        <f>IF(T43="","",T43)</f>
        <v>Наименование централизованной системы холодного водоснабжения</v>
      </c>
      <c r="AO43" s="506"/>
      <c r="AP43" s="506"/>
      <c r="AQ43" s="1161">
        <v>23</v>
      </c>
    </row>
    <row customHeight="1" ht="24">
      <c r="A44" s="1369" t="s">
        <v>236</v>
      </c>
      <c r="B44" s="1369" t="s">
        <v>237</v>
      </c>
      <c r="C44" s="1369" t="s">
        <v>238</v>
      </c>
      <c r="D44" s="1369" t="s">
        <v>510</v>
      </c>
      <c r="E44" s="2265"/>
      <c r="F44" s="2265"/>
      <c r="G44" s="2265"/>
      <c r="H44" s="2265"/>
      <c r="I44" s="2262" t="str">
        <f>S43&amp;".1"</f>
        <v>...1</v>
      </c>
      <c r="J44" s="1369"/>
      <c r="K44" s="1369"/>
      <c r="L44" s="1370"/>
      <c r="P44" s="2263">
        <v>1</v>
      </c>
      <c r="Q44" s="1456"/>
      <c r="R44" s="362"/>
      <c r="S44" s="1463" t="str">
        <f>$I44</f>
        <v>...1</v>
      </c>
      <c r="T44" s="291" t="s">
        <v>496</v>
      </c>
      <c r="U44" s="306"/>
      <c r="V44" s="2356"/>
      <c r="W44" s="2357"/>
      <c r="X44" s="2357"/>
      <c r="Y44" s="2357"/>
      <c r="Z44" s="2357"/>
      <c r="AA44" s="2357"/>
      <c r="AB44" s="2358"/>
      <c r="AC44" s="2359"/>
      <c r="AD44" s="2360"/>
      <c r="AE44" s="2360"/>
      <c r="AF44" s="2360"/>
      <c r="AG44" s="2360"/>
      <c r="AH44" s="2360"/>
      <c r="AI44" s="2360"/>
      <c r="AJ44" s="2361"/>
      <c r="AK44" s="1264" t="s">
        <v>497</v>
      </c>
      <c r="AM44" s="506"/>
      <c r="AN44" s="506" t="str">
        <f>IF(T44="","",T44)</f>
        <v>Наименование признака дифференциации</v>
      </c>
      <c r="AO44" s="506"/>
      <c r="AP44" s="506"/>
      <c r="AQ44" s="1161">
        <v>23</v>
      </c>
    </row>
    <row customHeight="1" ht="24">
      <c r="A45" s="1369" t="s">
        <v>236</v>
      </c>
      <c r="B45" s="1369" t="s">
        <v>237</v>
      </c>
      <c r="C45" s="1369" t="s">
        <v>238</v>
      </c>
      <c r="D45" s="1369" t="s">
        <v>510</v>
      </c>
      <c r="E45" s="2265"/>
      <c r="F45" s="2265"/>
      <c r="G45" s="2265"/>
      <c r="H45" s="2265"/>
      <c r="I45" s="2292"/>
      <c r="J45" s="2262" t="str">
        <f>I44&amp;".1"</f>
        <v>...1.1</v>
      </c>
      <c r="K45" s="1369"/>
      <c r="L45" s="1370" t="s">
        <v>422</v>
      </c>
      <c r="P45" s="2263"/>
      <c r="Q45" s="2263">
        <v>1</v>
      </c>
      <c r="R45" s="363"/>
      <c r="S45" s="1463" t="str">
        <f>$J45</f>
        <v>...1.1</v>
      </c>
      <c r="T45" s="292" t="s">
        <v>423</v>
      </c>
      <c r="U45" s="306"/>
      <c r="V45" s="2251"/>
      <c r="W45" s="2252"/>
      <c r="X45" s="2252"/>
      <c r="Y45" s="2252"/>
      <c r="Z45" s="2252"/>
      <c r="AA45" s="2252"/>
      <c r="AB45" s="2253"/>
      <c r="AC45" s="2251"/>
      <c r="AD45" s="2252"/>
      <c r="AE45" s="2252"/>
      <c r="AF45" s="2252"/>
      <c r="AG45" s="2252"/>
      <c r="AH45" s="2252"/>
      <c r="AI45" s="2252"/>
      <c r="AJ45" s="2253"/>
      <c r="AK45" s="1313" t="s">
        <v>498</v>
      </c>
      <c r="AM45" s="506"/>
      <c r="AN45" s="506" t="str">
        <f>IF(T45="","",T45)</f>
        <v>Группа потребителей</v>
      </c>
      <c r="AO45" s="506"/>
      <c r="AP45" s="506"/>
      <c r="AQ45" s="1161">
        <v>23</v>
      </c>
    </row>
    <row customHeight="1" ht="24">
      <c r="A46" s="1369" t="s">
        <v>236</v>
      </c>
      <c r="B46" s="1369" t="s">
        <v>237</v>
      </c>
      <c r="C46" s="1369" t="s">
        <v>238</v>
      </c>
      <c r="D46" s="1369" t="s">
        <v>510</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62</v>
      </c>
      <c r="AA46" s="2271"/>
      <c r="AB46" s="2113" t="s">
        <v>62</v>
      </c>
      <c r="AC46" s="757"/>
      <c r="AD46" s="757"/>
      <c r="AE46" s="1263"/>
      <c r="AF46" s="2271"/>
      <c r="AG46" s="2113" t="s">
        <v>62</v>
      </c>
      <c r="AH46" s="2293"/>
      <c r="AI46" s="2113" t="s">
        <v>62</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236</v>
      </c>
      <c r="B47" s="1369" t="s">
        <v>237</v>
      </c>
      <c r="C47" s="1369" t="s">
        <v>238</v>
      </c>
      <c r="D47" s="1369" t="s">
        <v>510</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236</v>
      </c>
      <c r="B48" s="1369" t="s">
        <v>237</v>
      </c>
      <c r="C48" s="1369" t="s">
        <v>238</v>
      </c>
      <c r="D48" s="1369" t="s">
        <v>510</v>
      </c>
      <c r="E48" s="2265"/>
      <c r="F48" s="2265"/>
      <c r="G48" s="2265"/>
      <c r="H48" s="2265"/>
      <c r="I48" s="2292"/>
      <c r="J48" s="2262"/>
      <c r="K48" s="1369"/>
      <c r="L48" s="1370"/>
      <c r="P48" s="2263"/>
      <c r="Q48" s="2263"/>
      <c r="R48" s="362"/>
      <c r="S48" s="1284"/>
      <c r="T48" s="293" t="s">
        <v>499</v>
      </c>
      <c r="U48" s="373"/>
      <c r="V48" s="373"/>
      <c r="W48" s="373"/>
      <c r="X48" s="373"/>
      <c r="Y48" s="373"/>
      <c r="Z48" s="373"/>
      <c r="AA48" s="373"/>
      <c r="AB48" s="373"/>
      <c r="AC48" s="373"/>
      <c r="AD48" s="373"/>
      <c r="AE48" s="373"/>
      <c r="AF48" s="373"/>
      <c r="AG48" s="373"/>
      <c r="AH48" s="373"/>
      <c r="AI48" s="373"/>
      <c r="AJ48" s="373"/>
      <c r="AK48" s="1264" t="s">
        <v>500</v>
      </c>
      <c r="AM48" s="506"/>
      <c r="AN48" s="506" t="str">
        <f>IF(T48="","",T48)</f>
        <v>Добавить значение признака дифференциации</v>
      </c>
      <c r="AO48" s="506"/>
      <c r="AP48" s="506"/>
      <c r="AQ48" s="1161">
        <v>20</v>
      </c>
    </row>
    <row customHeight="1" ht="22.049999999999997">
      <c r="A49" s="1369" t="s">
        <v>236</v>
      </c>
      <c r="B49" s="1369" t="s">
        <v>237</v>
      </c>
      <c r="C49" s="1369" t="s">
        <v>238</v>
      </c>
      <c r="D49" s="1369" t="s">
        <v>510</v>
      </c>
      <c r="E49" s="2265"/>
      <c r="F49" s="2265"/>
      <c r="G49" s="2265"/>
      <c r="H49" s="2265"/>
      <c r="I49" s="2262"/>
      <c r="J49" s="1369"/>
      <c r="K49" s="1369"/>
      <c r="L49" s="1370"/>
      <c r="P49" s="2263"/>
      <c r="Q49" s="1456"/>
      <c r="R49" s="362"/>
      <c r="S49" s="1284"/>
      <c r="T49" s="371" t="s">
        <v>428</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236</v>
      </c>
      <c r="B50" s="1369" t="s">
        <v>237</v>
      </c>
      <c r="C50" s="1369" t="s">
        <v>238</v>
      </c>
      <c r="D50" s="1369" t="s">
        <v>510</v>
      </c>
      <c r="E50" s="2265"/>
      <c r="F50" s="2265"/>
      <c r="G50" s="2265"/>
      <c r="H50" s="2264"/>
      <c r="I50" s="1369"/>
      <c r="J50" s="1369"/>
      <c r="K50" s="1369"/>
      <c r="L50" s="1370"/>
      <c r="M50" s="1371"/>
      <c r="N50" s="1371"/>
      <c r="O50" s="543"/>
      <c r="P50" s="366"/>
      <c r="Q50" s="381"/>
      <c r="R50" s="361"/>
      <c r="S50" s="1284"/>
      <c r="T50" s="378" t="s">
        <v>501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236</v>
      </c>
      <c r="B51" s="1349" t="s">
        <v>237</v>
      </c>
      <c r="C51" s="1320"/>
      <c r="D51" s="1320"/>
      <c r="E51" s="2265"/>
      <c r="F51" s="2264"/>
      <c r="G51" s="1320"/>
      <c r="H51" s="1320"/>
      <c r="I51" s="1320"/>
      <c r="J51" s="1320"/>
      <c r="K51" s="1320"/>
      <c r="L51" s="1464"/>
      <c r="M51" s="1327"/>
      <c r="N51" s="1327"/>
      <c r="P51" s="1322"/>
      <c r="Q51" s="1323"/>
      <c r="R51" s="1322"/>
      <c r="S51" s="1328"/>
      <c r="T51" s="1331" t="s">
        <v>251</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236</v>
      </c>
      <c r="B52" s="1349"/>
      <c r="C52" s="1349"/>
      <c r="D52" s="1349"/>
      <c r="E52" s="2264"/>
      <c r="F52" s="1349"/>
      <c r="G52" s="1349"/>
      <c r="H52" s="1349"/>
      <c r="I52" s="1349"/>
      <c r="J52" s="1349"/>
      <c r="K52" s="1349"/>
      <c r="L52" s="1352"/>
      <c r="M52" s="1327"/>
      <c r="N52" s="1327"/>
      <c r="O52" s="524"/>
      <c r="P52" s="386"/>
      <c r="Q52" s="1350"/>
      <c r="R52" s="386"/>
      <c r="S52" s="1328"/>
      <c r="T52" s="1331" t="s">
        <v>252</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264</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83</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3FBDD2-6C9F-55BA-8189-CBD20F15DDA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125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413</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414</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494</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495</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496</v>
      </c>
      <c r="U5" s="306"/>
      <c r="V5" s="2356"/>
      <c r="W5" s="2357"/>
      <c r="X5" s="2357"/>
      <c r="Y5" s="2357"/>
      <c r="Z5" s="2357"/>
      <c r="AA5" s="2357"/>
      <c r="AB5" s="2358"/>
      <c r="AC5" s="2359"/>
      <c r="AD5" s="2360"/>
      <c r="AE5" s="2360"/>
      <c r="AF5" s="2360"/>
      <c r="AG5" s="2360"/>
      <c r="AH5" s="2360"/>
      <c r="AI5" s="2360"/>
      <c r="AJ5" s="2361"/>
      <c r="AK5" s="1264" t="s">
        <v>497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422</v>
      </c>
      <c r="P6" s="2263"/>
      <c r="Q6" s="2263">
        <v>1</v>
      </c>
      <c r="R6" s="363"/>
      <c r="S6" s="1463">
        <f>$J6</f>
      </c>
      <c r="T6" s="292" t="s">
        <v>423</v>
      </c>
      <c r="U6" s="306"/>
      <c r="V6" s="2251"/>
      <c r="W6" s="2252"/>
      <c r="X6" s="2252"/>
      <c r="Y6" s="2252"/>
      <c r="Z6" s="2252"/>
      <c r="AA6" s="2252"/>
      <c r="AB6" s="2253"/>
      <c r="AC6" s="2251"/>
      <c r="AD6" s="2252"/>
      <c r="AE6" s="2252"/>
      <c r="AF6" s="2252"/>
      <c r="AG6" s="2252"/>
      <c r="AH6" s="2252"/>
      <c r="AI6" s="2252"/>
      <c r="AJ6" s="2253"/>
      <c r="AK6" s="1313" t="s">
        <v>498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62</v>
      </c>
      <c r="AA7" s="2271"/>
      <c r="AB7" s="2113" t="s">
        <v>62</v>
      </c>
      <c r="AC7" s="757"/>
      <c r="AD7" s="757"/>
      <c r="AE7" s="1263"/>
      <c r="AF7" s="2271"/>
      <c r="AG7" s="2113" t="s">
        <v>62</v>
      </c>
      <c r="AH7" s="2293"/>
      <c r="AI7" s="2113" t="s">
        <v>62</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499</v>
      </c>
      <c r="U9" s="373"/>
      <c r="V9" s="373"/>
      <c r="W9" s="373"/>
      <c r="X9" s="373"/>
      <c r="Y9" s="373"/>
      <c r="Z9" s="373"/>
      <c r="AA9" s="373"/>
      <c r="AB9" s="373"/>
      <c r="AC9" s="373"/>
      <c r="AD9" s="373"/>
      <c r="AE9" s="373"/>
      <c r="AF9" s="373"/>
      <c r="AG9" s="373"/>
      <c r="AH9" s="373"/>
      <c r="AI9" s="373"/>
      <c r="AJ9" s="373"/>
      <c r="AK9" s="1264" t="s">
        <v>500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428</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501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251</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252</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62</v>
      </c>
      <c r="AH15" s="2273"/>
      <c r="AI15" s="2274" t="s">
        <v>62</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431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432</v>
      </c>
      <c r="P20" s="1368"/>
      <c r="Q20" s="1448"/>
      <c r="R20" s="1448"/>
      <c r="S20" s="735"/>
      <c r="T20" s="1166" t="s">
        <v>433</v>
      </c>
      <c r="Z20" s="192" t="s">
        <v>434</v>
      </c>
      <c r="AB20" s="192" t="s">
        <v>435</v>
      </c>
      <c r="AC20" s="1166" t="s">
        <v>433</v>
      </c>
      <c r="AG20" s="192" t="s">
        <v>436</v>
      </c>
      <c r="AI20" s="192" t="s">
        <v>435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1249"/>
      <c r="AQ25" s="1161">
        <v>14</v>
      </c>
    </row>
    <row customHeight="1" ht="14.25">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2257"/>
      <c r="AB27" s="332"/>
      <c r="AC27" s="2257" t="str">
        <f>IF(TITLE_NAME_OR_PR_CHANGE="",IF(TITLE_NAME_OR_PR="","",TITLE_NAME_OR_PR),TITLE_NAME_OR_PR_CHANGE)</f>
        <v>Государственный комитет по ценовой политике Республики Саха (Якутия)</v>
      </c>
      <c r="AD27" s="2257"/>
      <c r="AE27" s="2257"/>
      <c r="AF27" s="2257"/>
      <c r="AG27" s="2257"/>
      <c r="AH27" s="2257"/>
      <c r="AI27" s="332"/>
      <c r="AJ27" s="332"/>
      <c r="AK27" s="286"/>
      <c r="AL27" s="374"/>
      <c r="AM27" s="374"/>
      <c r="AN27" s="374"/>
      <c r="AO27" s="374"/>
      <c r="AP27" s="374"/>
      <c r="AQ27" s="424">
        <v>0</v>
      </c>
    </row>
    <row s="1859" customFormat="1" customHeight="1" ht="18.75">
      <c r="A28" s="1374"/>
      <c r="B28" s="1374"/>
      <c r="C28" s="1374"/>
      <c r="D28" s="1374"/>
      <c r="E28" s="1374"/>
      <c r="F28" s="1374"/>
      <c r="G28" s="1374"/>
      <c r="H28" s="1374"/>
      <c r="I28" s="1374"/>
      <c r="J28" s="1374"/>
      <c r="K28" s="1374"/>
      <c r="L28" s="1375"/>
      <c r="M28" s="1374"/>
      <c r="N28" s="1374"/>
      <c r="O28" s="1374"/>
      <c r="S28" s="2256" t="s">
        <v>437</v>
      </c>
      <c r="T28" s="2256"/>
      <c r="U28" s="1378"/>
      <c r="V28" s="2270" t="str">
        <f>IF(TITLE_DATE_PR_CHANGE="",IF(TITLE_DATE_PR="","",TITLE_DATE_PR),TITLE_DATE_PR_CHANGE)</f>
        <v>46003.502546296295</v>
      </c>
      <c r="W28" s="2270"/>
      <c r="X28" s="2270"/>
      <c r="Y28" s="2270"/>
      <c r="Z28" s="2270"/>
      <c r="AA28" s="2270"/>
      <c r="AB28" s="332"/>
      <c r="AC28" s="2270" t="str">
        <f>IF(TITLE_DATE_PR_CHANGE="",IF(TITLE_DATE_PR="","",TITLE_DATE_PR),TITLE_DATE_PR_CHANGE)</f>
        <v>46003.502546296295</v>
      </c>
      <c r="AD28" s="2270"/>
      <c r="AE28" s="2270"/>
      <c r="AF28" s="2270"/>
      <c r="AG28" s="2270"/>
      <c r="AH28" s="2270"/>
      <c r="AI28" s="332"/>
      <c r="AJ28" s="332"/>
      <c r="AK28" s="286"/>
      <c r="AL28" s="374"/>
      <c r="AM28" s="374"/>
      <c r="AN28" s="374"/>
      <c r="AO28" s="374"/>
      <c r="AP28" s="374"/>
      <c r="AQ28" s="424">
        <v>0</v>
      </c>
    </row>
    <row s="1859" customFormat="1" customHeight="1" ht="18.75">
      <c r="A29" s="1374"/>
      <c r="B29" s="1374"/>
      <c r="C29" s="1374"/>
      <c r="D29" s="1374"/>
      <c r="E29" s="1374"/>
      <c r="F29" s="1374"/>
      <c r="G29" s="1374"/>
      <c r="H29" s="1374"/>
      <c r="I29" s="1374"/>
      <c r="J29" s="1374"/>
      <c r="K29" s="1374"/>
      <c r="L29" s="1375"/>
      <c r="M29" s="1374"/>
      <c r="N29" s="1374"/>
      <c r="O29" s="1374"/>
      <c r="S29" s="2256" t="s">
        <v>438</v>
      </c>
      <c r="T29" s="2256"/>
      <c r="U29" s="1378"/>
      <c r="V29" s="2257" t="str">
        <f>IF(TITLE_NUMBER_PR_CHANGE="",IF(TITLE_NUMBER_PR="","",TITLE_NUMBER_PR),TITLE_NUMBER_PR_CHANGE)</f>
        <v>№ 222</v>
      </c>
      <c r="W29" s="2257"/>
      <c r="X29" s="2257"/>
      <c r="Y29" s="2257"/>
      <c r="Z29" s="2257"/>
      <c r="AA29" s="2257"/>
      <c r="AB29" s="332"/>
      <c r="AC29" s="2257" t="str">
        <f>IF(TITLE_NUMBER_PR_CHANGE="",IF(TITLE_NUMBER_PR="","",TITLE_NUMBER_PR),TITLE_NUMBER_PR_CHANGE)</f>
        <v>№ 222</v>
      </c>
      <c r="AD29" s="2257"/>
      <c r="AE29" s="2257"/>
      <c r="AF29" s="2257"/>
      <c r="AG29" s="2257"/>
      <c r="AH29" s="2257"/>
      <c r="AI29" s="332"/>
      <c r="AJ29" s="332"/>
      <c r="AK29" s="286"/>
      <c r="AL29" s="374"/>
      <c r="AM29" s="374"/>
      <c r="AN29" s="374"/>
      <c r="AO29" s="374"/>
      <c r="AP29" s="374"/>
      <c r="AQ29" s="424">
        <v>0</v>
      </c>
    </row>
    <row s="1859" customFormat="1" customHeight="1" ht="18.75">
      <c r="A30" s="1374"/>
      <c r="B30" s="1374"/>
      <c r="C30" s="1374"/>
      <c r="D30" s="1374"/>
      <c r="E30" s="1374"/>
      <c r="F30" s="1374"/>
      <c r="G30" s="1374"/>
      <c r="H30" s="1374"/>
      <c r="I30" s="1374"/>
      <c r="J30" s="1374"/>
      <c r="K30" s="1374"/>
      <c r="L30" s="1375"/>
      <c r="M30" s="1374"/>
      <c r="N30" s="1374"/>
      <c r="O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2257"/>
      <c r="AB30" s="332"/>
      <c r="AC30" s="2257" t="str">
        <f>IF(TITLE_IST_PUB_CHANGE="",IF(TITLE_IST_PUB="","",TITLE_IST_PUB),TITLE_IST_PUB_CHANGE)</f>
        <v>Официальный интернет-портал правовой информации http://pravo.gov.ru/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439</v>
      </c>
      <c r="T32" s="2256"/>
      <c r="U32" s="1378"/>
      <c r="V32" s="2270" t="str">
        <f>IF(TITLE_DATE_PR_CHANGE="",IF(TITLE_DATE_PR="","",TITLE_DATE_PR),TITLE_DATE_PR_CHANGE)</f>
        <v>46003.502546296295</v>
      </c>
      <c r="W32" s="2270"/>
      <c r="X32" s="2270"/>
      <c r="Y32" s="2270"/>
      <c r="Z32" s="2270"/>
      <c r="AA32" s="2270"/>
      <c r="AB32" s="332"/>
      <c r="AC32" s="2270" t="str">
        <f>IF(TITLE_DATE_PR_CHANGE="",IF(TITLE_DATE_PR="","",TITLE_DATE_PR),TITLE_DATE_PR_CHANGE)</f>
        <v>46003.502546296295</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440</v>
      </c>
      <c r="T33" s="2256"/>
      <c r="U33" s="1378"/>
      <c r="V33" s="2257" t="str">
        <f>IF(TITLE_NUMBER_PR_CHANGE="",IF(TITLE_NUMBER_PR="","",TITLE_NUMBER_PR),TITLE_NUMBER_PR_CHANGE)</f>
        <v>№ 222</v>
      </c>
      <c r="W33" s="2257"/>
      <c r="X33" s="2257"/>
      <c r="Y33" s="2257"/>
      <c r="Z33" s="2257"/>
      <c r="AA33" s="2257"/>
      <c r="AB33" s="332"/>
      <c r="AC33" s="2257" t="str">
        <f>IF(TITLE_NUMBER_PR_CHANGE="",IF(TITLE_NUMBER_PR="","",TITLE_NUMBER_PR),TITLE_NUMBER_PR_CHANGE)</f>
        <v>№ 222</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441</v>
      </c>
      <c r="AC34" s="332"/>
      <c r="AD34" s="332"/>
      <c r="AE34" s="332"/>
      <c r="AF34" s="332"/>
      <c r="AG34" s="332"/>
      <c r="AH34" s="332"/>
      <c r="AI34" s="284" t="s">
        <v>441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316</v>
      </c>
      <c r="T36" s="2133"/>
      <c r="U36" s="2133"/>
      <c r="V36" s="2133"/>
      <c r="W36" s="2133"/>
      <c r="X36" s="2133"/>
      <c r="Y36" s="2133"/>
      <c r="Z36" s="2133"/>
      <c r="AA36" s="2133"/>
      <c r="AB36" s="2133"/>
      <c r="AC36" s="2133"/>
      <c r="AD36" s="2133"/>
      <c r="AE36" s="2133"/>
      <c r="AF36" s="2133"/>
      <c r="AG36" s="2133"/>
      <c r="AH36" s="2133"/>
      <c r="AI36" s="2133"/>
      <c r="AJ36" s="2133"/>
      <c r="AK36" s="2133" t="s">
        <v>317</v>
      </c>
      <c r="AQ36" s="1161">
        <v>14</v>
      </c>
    </row>
    <row customHeight="1" ht="14.699999999999998">
      <c r="Q37" s="382"/>
      <c r="R37" s="382"/>
      <c r="S37" s="2279" t="s">
        <v>89</v>
      </c>
      <c r="T37" s="2215" t="s">
        <v>442</v>
      </c>
      <c r="U37" s="307"/>
      <c r="V37" s="2280" t="s">
        <v>443</v>
      </c>
      <c r="W37" s="2281"/>
      <c r="X37" s="2281"/>
      <c r="Y37" s="2281"/>
      <c r="Z37" s="2281"/>
      <c r="AA37" s="2282"/>
      <c r="AB37" s="2283" t="s">
        <v>444</v>
      </c>
      <c r="AC37" s="2280" t="s">
        <v>443</v>
      </c>
      <c r="AD37" s="2281"/>
      <c r="AE37" s="2281"/>
      <c r="AF37" s="2281"/>
      <c r="AG37" s="2281"/>
      <c r="AH37" s="2282"/>
      <c r="AI37" s="2283" t="s">
        <v>445</v>
      </c>
      <c r="AJ37" s="2286" t="s">
        <v>446</v>
      </c>
      <c r="AK37" s="2133"/>
      <c r="AQ37" s="1161">
        <v>14</v>
      </c>
    </row>
    <row customHeight="1" ht="35.699999999999996">
      <c r="Q38" s="382"/>
      <c r="R38" s="382"/>
      <c r="S38" s="2279"/>
      <c r="T38" s="2215"/>
      <c r="U38" s="1037"/>
      <c r="V38" s="1458" t="s">
        <v>502</v>
      </c>
      <c r="W38" s="2268" t="s">
        <v>449</v>
      </c>
      <c r="X38" s="2269"/>
      <c r="Y38" s="2268" t="s">
        <v>450</v>
      </c>
      <c r="Z38" s="2275"/>
      <c r="AA38" s="2269"/>
      <c r="AB38" s="2284"/>
      <c r="AC38" s="1458" t="s">
        <v>502</v>
      </c>
      <c r="AD38" s="2268" t="s">
        <v>449</v>
      </c>
      <c r="AE38" s="2269"/>
      <c r="AF38" s="2268" t="s">
        <v>450</v>
      </c>
      <c r="AG38" s="2275"/>
      <c r="AH38" s="2269"/>
      <c r="AI38" s="2284"/>
      <c r="AJ38" s="2287"/>
      <c r="AK38" s="2133"/>
      <c r="AQ38" s="1161">
        <v>34</v>
      </c>
    </row>
    <row customHeight="1" ht="35.699999999999996">
      <c r="A39" s="1376"/>
      <c r="B39" s="1376" t="s">
        <v>137</v>
      </c>
      <c r="C39" s="1376" t="s">
        <v>138</v>
      </c>
      <c r="D39" s="1376" t="s">
        <v>139</v>
      </c>
      <c r="E39" s="1370" t="s">
        <v>451</v>
      </c>
      <c r="F39" s="1370" t="s">
        <v>452</v>
      </c>
      <c r="G39" s="1370" t="s">
        <v>453</v>
      </c>
      <c r="H39" s="1370"/>
      <c r="I39" s="1370" t="s">
        <v>503</v>
      </c>
      <c r="J39" s="1370" t="s">
        <v>456</v>
      </c>
      <c r="K39" s="1370" t="s">
        <v>504</v>
      </c>
      <c r="L39" s="1370" t="s">
        <v>432</v>
      </c>
      <c r="Q39" s="382"/>
      <c r="R39" s="382"/>
      <c r="S39" s="2279"/>
      <c r="T39" s="2215"/>
      <c r="U39" s="308"/>
      <c r="V39" s="1458" t="s">
        <v>505</v>
      </c>
      <c r="W39" s="1228" t="s">
        <v>506</v>
      </c>
      <c r="X39" s="1228" t="s">
        <v>507</v>
      </c>
      <c r="Y39" s="1461" t="s">
        <v>460</v>
      </c>
      <c r="Z39" s="2276" t="s">
        <v>461</v>
      </c>
      <c r="AA39" s="2277"/>
      <c r="AB39" s="2285"/>
      <c r="AC39" s="1458" t="s">
        <v>505</v>
      </c>
      <c r="AD39" s="1228" t="s">
        <v>506</v>
      </c>
      <c r="AE39" s="1228" t="s">
        <v>507</v>
      </c>
      <c r="AF39" s="1461" t="s">
        <v>460</v>
      </c>
      <c r="AG39" s="2276" t="s">
        <v>461</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111</v>
      </c>
      <c r="T40" s="1261" t="s">
        <v>112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241</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125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241</v>
      </c>
      <c r="B42" s="1369" t="s">
        <v>242</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413</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414</v>
      </c>
      <c r="AM42" s="506"/>
      <c r="AN42" s="506" t="str">
        <f>IF(T42="","",T42)</f>
        <v>Территория действия тарифа</v>
      </c>
      <c r="AO42" s="506"/>
      <c r="AP42" s="506"/>
      <c r="AQ42" s="1161">
        <v>23</v>
      </c>
    </row>
    <row customHeight="1" ht="24">
      <c r="A43" s="1369" t="s">
        <v>241</v>
      </c>
      <c r="B43" s="1369" t="s">
        <v>242</v>
      </c>
      <c r="C43" s="1369" t="s">
        <v>243</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494</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495</v>
      </c>
      <c r="AM43" s="506"/>
      <c r="AN43" s="506" t="str">
        <f>IF(T43="","",T43)</f>
        <v>Наименование централизованной системы холодного водоснабжения</v>
      </c>
      <c r="AO43" s="506"/>
      <c r="AP43" s="506"/>
      <c r="AQ43" s="1161">
        <v>23</v>
      </c>
    </row>
    <row customHeight="1" ht="24">
      <c r="A44" s="1369" t="s">
        <v>241</v>
      </c>
      <c r="B44" s="1369" t="s">
        <v>242</v>
      </c>
      <c r="C44" s="1369" t="s">
        <v>243</v>
      </c>
      <c r="D44" s="1369" t="s">
        <v>511</v>
      </c>
      <c r="E44" s="2265"/>
      <c r="F44" s="2265"/>
      <c r="G44" s="2265"/>
      <c r="H44" s="2265"/>
      <c r="I44" s="2262" t="str">
        <f>S43&amp;".1"</f>
        <v>...1</v>
      </c>
      <c r="J44" s="1369"/>
      <c r="K44" s="1369"/>
      <c r="L44" s="1370"/>
      <c r="P44" s="2263">
        <v>1</v>
      </c>
      <c r="Q44" s="1456"/>
      <c r="R44" s="362"/>
      <c r="S44" s="1463" t="str">
        <f>$I44</f>
        <v>...1</v>
      </c>
      <c r="T44" s="291" t="s">
        <v>496</v>
      </c>
      <c r="U44" s="306"/>
      <c r="V44" s="2356"/>
      <c r="W44" s="2357"/>
      <c r="X44" s="2357"/>
      <c r="Y44" s="2357"/>
      <c r="Z44" s="2357"/>
      <c r="AA44" s="2357"/>
      <c r="AB44" s="2358"/>
      <c r="AC44" s="2359"/>
      <c r="AD44" s="2360"/>
      <c r="AE44" s="2360"/>
      <c r="AF44" s="2360"/>
      <c r="AG44" s="2360"/>
      <c r="AH44" s="2360"/>
      <c r="AI44" s="2360"/>
      <c r="AJ44" s="2361"/>
      <c r="AK44" s="1264" t="s">
        <v>497</v>
      </c>
      <c r="AM44" s="506"/>
      <c r="AN44" s="506" t="str">
        <f>IF(T44="","",T44)</f>
        <v>Наименование признака дифференциации</v>
      </c>
      <c r="AO44" s="506"/>
      <c r="AP44" s="506"/>
      <c r="AQ44" s="1161">
        <v>23</v>
      </c>
    </row>
    <row customHeight="1" ht="24">
      <c r="A45" s="1369" t="s">
        <v>241</v>
      </c>
      <c r="B45" s="1369" t="s">
        <v>242</v>
      </c>
      <c r="C45" s="1369" t="s">
        <v>243</v>
      </c>
      <c r="D45" s="1369" t="s">
        <v>511</v>
      </c>
      <c r="E45" s="2265"/>
      <c r="F45" s="2265"/>
      <c r="G45" s="2265"/>
      <c r="H45" s="2265"/>
      <c r="I45" s="2292"/>
      <c r="J45" s="2262" t="str">
        <f>I44&amp;".1"</f>
        <v>...1.1</v>
      </c>
      <c r="K45" s="1369"/>
      <c r="L45" s="1370" t="s">
        <v>422</v>
      </c>
      <c r="P45" s="2263"/>
      <c r="Q45" s="2263">
        <v>1</v>
      </c>
      <c r="R45" s="363"/>
      <c r="S45" s="1463" t="str">
        <f>$J45</f>
        <v>...1.1</v>
      </c>
      <c r="T45" s="292" t="s">
        <v>423</v>
      </c>
      <c r="U45" s="306"/>
      <c r="V45" s="2251"/>
      <c r="W45" s="2252"/>
      <c r="X45" s="2252"/>
      <c r="Y45" s="2252"/>
      <c r="Z45" s="2252"/>
      <c r="AA45" s="2252"/>
      <c r="AB45" s="2253"/>
      <c r="AC45" s="2251"/>
      <c r="AD45" s="2252"/>
      <c r="AE45" s="2252"/>
      <c r="AF45" s="2252"/>
      <c r="AG45" s="2252"/>
      <c r="AH45" s="2252"/>
      <c r="AI45" s="2252"/>
      <c r="AJ45" s="2253"/>
      <c r="AK45" s="1313" t="s">
        <v>498</v>
      </c>
      <c r="AM45" s="506"/>
      <c r="AN45" s="506" t="str">
        <f>IF(T45="","",T45)</f>
        <v>Группа потребителей</v>
      </c>
      <c r="AO45" s="506"/>
      <c r="AP45" s="506"/>
      <c r="AQ45" s="1161">
        <v>23</v>
      </c>
    </row>
    <row customHeight="1" ht="24">
      <c r="A46" s="1369" t="s">
        <v>241</v>
      </c>
      <c r="B46" s="1369" t="s">
        <v>242</v>
      </c>
      <c r="C46" s="1369" t="s">
        <v>243</v>
      </c>
      <c r="D46" s="1369" t="s">
        <v>511</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62</v>
      </c>
      <c r="AA46" s="2271"/>
      <c r="AB46" s="2113" t="s">
        <v>62</v>
      </c>
      <c r="AC46" s="757"/>
      <c r="AD46" s="757"/>
      <c r="AE46" s="1263"/>
      <c r="AF46" s="2271"/>
      <c r="AG46" s="2113" t="s">
        <v>62</v>
      </c>
      <c r="AH46" s="2293"/>
      <c r="AI46" s="2113" t="s">
        <v>62</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241</v>
      </c>
      <c r="B47" s="1369" t="s">
        <v>242</v>
      </c>
      <c r="C47" s="1369" t="s">
        <v>243</v>
      </c>
      <c r="D47" s="1369" t="s">
        <v>511</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241</v>
      </c>
      <c r="B48" s="1369" t="s">
        <v>242</v>
      </c>
      <c r="C48" s="1369" t="s">
        <v>243</v>
      </c>
      <c r="D48" s="1369" t="s">
        <v>511</v>
      </c>
      <c r="E48" s="2265"/>
      <c r="F48" s="2265"/>
      <c r="G48" s="2265"/>
      <c r="H48" s="2265"/>
      <c r="I48" s="2292"/>
      <c r="J48" s="2262"/>
      <c r="K48" s="1369"/>
      <c r="L48" s="1370"/>
      <c r="P48" s="2263"/>
      <c r="Q48" s="2263"/>
      <c r="R48" s="362"/>
      <c r="S48" s="1284"/>
      <c r="T48" s="293" t="s">
        <v>499</v>
      </c>
      <c r="U48" s="373"/>
      <c r="V48" s="373"/>
      <c r="W48" s="373"/>
      <c r="X48" s="373"/>
      <c r="Y48" s="373"/>
      <c r="Z48" s="373"/>
      <c r="AA48" s="373"/>
      <c r="AB48" s="373"/>
      <c r="AC48" s="373"/>
      <c r="AD48" s="373"/>
      <c r="AE48" s="373"/>
      <c r="AF48" s="373"/>
      <c r="AG48" s="373"/>
      <c r="AH48" s="373"/>
      <c r="AI48" s="373"/>
      <c r="AJ48" s="373"/>
      <c r="AK48" s="1264" t="s">
        <v>500</v>
      </c>
      <c r="AM48" s="506"/>
      <c r="AN48" s="506" t="str">
        <f>IF(T48="","",T48)</f>
        <v>Добавить значение признака дифференциации</v>
      </c>
      <c r="AO48" s="506"/>
      <c r="AP48" s="506"/>
      <c r="AQ48" s="1161">
        <v>20</v>
      </c>
    </row>
    <row customHeight="1" ht="22.049999999999997">
      <c r="A49" s="1369" t="s">
        <v>241</v>
      </c>
      <c r="B49" s="1369" t="s">
        <v>242</v>
      </c>
      <c r="C49" s="1369" t="s">
        <v>243</v>
      </c>
      <c r="D49" s="1369" t="s">
        <v>511</v>
      </c>
      <c r="E49" s="2265"/>
      <c r="F49" s="2265"/>
      <c r="G49" s="2265"/>
      <c r="H49" s="2265"/>
      <c r="I49" s="2262"/>
      <c r="J49" s="1369"/>
      <c r="K49" s="1369"/>
      <c r="L49" s="1370"/>
      <c r="P49" s="2263"/>
      <c r="Q49" s="1456"/>
      <c r="R49" s="362"/>
      <c r="S49" s="1284"/>
      <c r="T49" s="371" t="s">
        <v>428</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241</v>
      </c>
      <c r="B50" s="1369" t="s">
        <v>242</v>
      </c>
      <c r="C50" s="1369" t="s">
        <v>243</v>
      </c>
      <c r="D50" s="1369" t="s">
        <v>511</v>
      </c>
      <c r="E50" s="2265"/>
      <c r="F50" s="2265"/>
      <c r="G50" s="2265"/>
      <c r="H50" s="2264"/>
      <c r="I50" s="1369"/>
      <c r="J50" s="1369"/>
      <c r="K50" s="1369"/>
      <c r="L50" s="1370"/>
      <c r="M50" s="1371"/>
      <c r="N50" s="1371"/>
      <c r="O50" s="543"/>
      <c r="P50" s="366"/>
      <c r="Q50" s="381"/>
      <c r="R50" s="361"/>
      <c r="S50" s="1284"/>
      <c r="T50" s="378" t="s">
        <v>501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241</v>
      </c>
      <c r="B51" s="1349" t="s">
        <v>242</v>
      </c>
      <c r="C51" s="1320"/>
      <c r="D51" s="1320"/>
      <c r="E51" s="2265"/>
      <c r="F51" s="2264"/>
      <c r="G51" s="1320"/>
      <c r="H51" s="1320"/>
      <c r="I51" s="1320"/>
      <c r="J51" s="1320"/>
      <c r="K51" s="1320"/>
      <c r="L51" s="1464"/>
      <c r="M51" s="1327"/>
      <c r="N51" s="1327"/>
      <c r="P51" s="1322"/>
      <c r="Q51" s="1323"/>
      <c r="R51" s="1322"/>
      <c r="S51" s="1328"/>
      <c r="T51" s="1331" t="s">
        <v>251</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241</v>
      </c>
      <c r="B52" s="1349"/>
      <c r="C52" s="1349"/>
      <c r="D52" s="1349"/>
      <c r="E52" s="2264"/>
      <c r="F52" s="1349"/>
      <c r="G52" s="1349"/>
      <c r="H52" s="1349"/>
      <c r="I52" s="1349"/>
      <c r="J52" s="1349"/>
      <c r="K52" s="1349"/>
      <c r="L52" s="1352"/>
      <c r="M52" s="1327"/>
      <c r="N52" s="1327"/>
      <c r="O52" s="524"/>
      <c r="P52" s="386"/>
      <c r="Q52" s="1350"/>
      <c r="R52" s="386"/>
      <c r="S52" s="1328"/>
      <c r="T52" s="1331" t="s">
        <v>252</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264</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83</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137841-0B8F-1B94-1C8F-E00FDB6A0AF6}"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41" width="10.140625" hidden="1" customWidth="1"/>
    <col min="4" max="4" style="1641" width="11.8515625" hidden="1" customWidth="1"/>
    <col min="5" max="11" style="1641" width="10.140625" hidden="1" customWidth="1"/>
    <col min="12" max="12" style="2131" width="10.140625" hidden="1" customWidth="1"/>
    <col min="13" max="15" style="2403" width="10.14062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27.00390625" customWidth="1"/>
    <col min="29" max="29" style="1641" width="24.57421875" customWidth="1"/>
    <col min="30" max="31" style="1641" width="21.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0.75" hidden="1">
      <c r="AQ1" s="1637" t="s">
        <v>14</v>
      </c>
    </row>
    <row customHeight="1" ht="21" hidden="1">
      <c r="A2" s="1273"/>
      <c r="B2" s="1273"/>
      <c r="C2" s="1273"/>
      <c r="D2" s="1273"/>
      <c r="E2" s="2295">
        <v>1</v>
      </c>
      <c r="F2" s="1273"/>
      <c r="G2" s="1273"/>
      <c r="H2" s="1273"/>
      <c r="I2" s="1273"/>
      <c r="J2" s="1273"/>
      <c r="K2" s="1273"/>
      <c r="L2" s="1316"/>
      <c r="M2" s="1616"/>
      <c r="N2" s="1616"/>
      <c r="O2" s="1616"/>
      <c r="P2" s="1415"/>
      <c r="Q2" s="879"/>
      <c r="R2" s="361"/>
      <c r="S2" s="1964">
        <f>INDEX(PT_DIFFERENTIATION_NUM_NTAR,MATCH(A2,PT_DIFFERENTIATION_NTAR_ID,0))</f>
      </c>
      <c r="T2" s="1531" t="s">
        <v>125</v>
      </c>
      <c r="U2" s="306"/>
      <c r="V2" s="2249"/>
      <c r="W2" s="2249"/>
      <c r="X2" s="2249"/>
      <c r="Y2" s="2249"/>
      <c r="Z2" s="2249"/>
      <c r="AA2" s="2250"/>
      <c r="AB2" s="1958"/>
      <c r="AC2" s="2249">
        <f>INDEX(PT_DIFFERENTIATION_NTAR,MATCH(A2,PT_DIFFERENTIATION_NTAR_ID,0))</f>
      </c>
      <c r="AD2" s="2249"/>
      <c r="AE2" s="2249"/>
      <c r="AF2" s="2249"/>
      <c r="AG2" s="2249"/>
      <c r="AH2" s="2249"/>
      <c r="AI2" s="2249"/>
      <c r="AJ2" s="2250"/>
      <c r="AK2" s="1264" t="s">
        <v>412</v>
      </c>
      <c r="AM2" s="1630"/>
      <c r="AN2" s="1630" t="str">
        <f>IF(T2="","",T2)</f>
        <v>Наименование тарифа</v>
      </c>
      <c r="AO2" s="1630"/>
      <c r="AP2" s="1630"/>
      <c r="AQ2" s="1637">
        <v>0</v>
      </c>
    </row>
    <row customHeight="1" ht="21" hidden="1">
      <c r="A3" s="1273"/>
      <c r="B3" s="1273"/>
      <c r="C3" s="1273"/>
      <c r="D3" s="1273"/>
      <c r="E3" s="2296"/>
      <c r="F3" s="2295">
        <v>1</v>
      </c>
      <c r="G3" s="1273"/>
      <c r="H3" s="1273"/>
      <c r="I3" s="1273"/>
      <c r="J3" s="1273"/>
      <c r="K3" s="1273"/>
      <c r="L3" s="1316"/>
      <c r="M3" s="1616"/>
      <c r="N3" s="1616"/>
      <c r="O3" s="1616"/>
      <c r="P3" s="1975"/>
      <c r="Q3" s="1417"/>
      <c r="R3" s="359"/>
      <c r="S3" s="1964">
        <f>INDEX(PT_DIFFERENTIATION_NUM_TER,MATCH(B3,PT_DIFFERENTIATION_TER_ID,0))</f>
      </c>
      <c r="T3" s="1528" t="s">
        <v>413</v>
      </c>
      <c r="U3" s="306"/>
      <c r="V3" s="2249"/>
      <c r="W3" s="2249"/>
      <c r="X3" s="2249"/>
      <c r="Y3" s="2249"/>
      <c r="Z3" s="2249"/>
      <c r="AA3" s="2250"/>
      <c r="AB3" s="1958"/>
      <c r="AC3" s="2249">
        <f>INDEX(PT_DIFFERENTIATION_TER,MATCH(B3,PT_DIFFERENTIATION_TER_ID,0))</f>
      </c>
      <c r="AD3" s="2249"/>
      <c r="AE3" s="2249"/>
      <c r="AF3" s="2249"/>
      <c r="AG3" s="2249"/>
      <c r="AH3" s="2249"/>
      <c r="AI3" s="2249"/>
      <c r="AJ3" s="2250"/>
      <c r="AK3" s="1264" t="s">
        <v>414</v>
      </c>
      <c r="AM3" s="1630"/>
      <c r="AN3" s="1630" t="str">
        <f>IF(T3="","",T3)</f>
        <v>Территория действия тарифа</v>
      </c>
      <c r="AO3" s="1630"/>
      <c r="AP3" s="1630"/>
      <c r="AQ3" s="1637">
        <v>0</v>
      </c>
    </row>
    <row customHeight="1" ht="22.5" hidden="1">
      <c r="A4" s="1273"/>
      <c r="B4" s="1273"/>
      <c r="C4" s="1273"/>
      <c r="D4" s="1273"/>
      <c r="E4" s="2296"/>
      <c r="F4" s="2296"/>
      <c r="G4" s="2295">
        <v>1</v>
      </c>
      <c r="H4" s="1273"/>
      <c r="I4" s="1273"/>
      <c r="J4" s="1273"/>
      <c r="K4" s="1273"/>
      <c r="L4" s="1316"/>
      <c r="M4" s="1616"/>
      <c r="N4" s="1616"/>
      <c r="O4" s="1616"/>
      <c r="P4" s="1418"/>
      <c r="Q4" s="1417"/>
      <c r="R4" s="359"/>
      <c r="S4" s="1964">
        <f>INDEX(PT_DIFFERENTIATION_NUM_CS,MATCH(C4,PT_DIFFERENTIATION_CS_ID,0))</f>
      </c>
      <c r="T4" s="315" t="s">
        <v>415</v>
      </c>
      <c r="U4" s="306"/>
      <c r="V4" s="2249"/>
      <c r="W4" s="2249"/>
      <c r="X4" s="2249"/>
      <c r="Y4" s="2249"/>
      <c r="Z4" s="2249"/>
      <c r="AA4" s="2250"/>
      <c r="AB4" s="1958"/>
      <c r="AC4" s="2249">
        <f>INDEX(PT_DIFFERENTIATION_CS,MATCH(C4,PT_DIFFERENTIATION_CS_ID,0))</f>
      </c>
      <c r="AD4" s="2249"/>
      <c r="AE4" s="2249"/>
      <c r="AF4" s="2249"/>
      <c r="AG4" s="2249"/>
      <c r="AH4" s="2249"/>
      <c r="AI4" s="2249"/>
      <c r="AJ4" s="2250"/>
      <c r="AK4" s="1264" t="s">
        <v>416</v>
      </c>
      <c r="AM4" s="1630"/>
      <c r="AN4" s="1630" t="str">
        <f>IF(T4="","",T4)</f>
        <v>Наименование системы теплоснабжения </v>
      </c>
      <c r="AO4" s="1630"/>
      <c r="AP4" s="1630"/>
      <c r="AQ4" s="1637">
        <v>0</v>
      </c>
    </row>
    <row customHeight="1" ht="21" hidden="1">
      <c r="A5" s="1273"/>
      <c r="B5" s="1273"/>
      <c r="C5" s="1273"/>
      <c r="D5" s="1273"/>
      <c r="E5" s="2296"/>
      <c r="F5" s="2296"/>
      <c r="G5" s="2296"/>
      <c r="H5" s="2295">
        <v>1</v>
      </c>
      <c r="I5" s="1273"/>
      <c r="J5" s="1273"/>
      <c r="K5" s="1273"/>
      <c r="L5" s="1316"/>
      <c r="M5" s="1616"/>
      <c r="N5" s="1616"/>
      <c r="O5" s="1616"/>
      <c r="P5" s="1418"/>
      <c r="Q5" s="1417"/>
      <c r="R5" s="359"/>
      <c r="S5" s="1964">
        <f>INDEX(PT_DIFFERENTIATION_NUM_IST_TE,MATCH(D5,PT_DIFFERENTIATION_IST_TE_ID,0))</f>
      </c>
      <c r="T5" s="316" t="s">
        <v>417</v>
      </c>
      <c r="U5" s="306"/>
      <c r="V5" s="2249"/>
      <c r="W5" s="2249"/>
      <c r="X5" s="2249"/>
      <c r="Y5" s="2249"/>
      <c r="Z5" s="2249"/>
      <c r="AA5" s="2250"/>
      <c r="AB5" s="1958"/>
      <c r="AC5" s="2249">
        <f>INDEX(PT_DIFFERENTIATION_IST_TE,MATCH(D5,PT_DIFFERENTIATION_IST_TE_ID,0))</f>
      </c>
      <c r="AD5" s="2249"/>
      <c r="AE5" s="2249"/>
      <c r="AF5" s="2249"/>
      <c r="AG5" s="2249"/>
      <c r="AH5" s="2249"/>
      <c r="AI5" s="2249"/>
      <c r="AJ5" s="2250"/>
      <c r="AK5" s="1264" t="s">
        <v>418</v>
      </c>
      <c r="AM5" s="1630"/>
      <c r="AN5" s="1630" t="str">
        <f>IF(T5="","",T5)</f>
        <v>Источник тепловой энергии  </v>
      </c>
      <c r="AO5" s="1630"/>
      <c r="AP5" s="1630"/>
      <c r="AQ5" s="1637">
        <v>0</v>
      </c>
    </row>
    <row s="1648" customFormat="1" customHeight="1" ht="0.75" hidden="1">
      <c r="A6" s="1381"/>
      <c r="B6" s="1381"/>
      <c r="C6" s="1381"/>
      <c r="D6" s="1381"/>
      <c r="E6" s="2296"/>
      <c r="F6" s="2296"/>
      <c r="G6" s="2296"/>
      <c r="H6" s="2296"/>
      <c r="I6" s="2133">
        <f>S5&amp;".1"</f>
      </c>
      <c r="J6" s="1381"/>
      <c r="K6" s="1381"/>
      <c r="L6" s="1387" t="s">
        <v>419</v>
      </c>
      <c r="M6" s="1252"/>
      <c r="N6" s="1252"/>
      <c r="O6" s="1252"/>
      <c r="P6" s="2263">
        <v>1</v>
      </c>
      <c r="Q6" s="1960"/>
      <c r="R6" s="362"/>
      <c r="S6" s="1048"/>
      <c r="T6" s="1389"/>
      <c r="U6" s="1390"/>
      <c r="V6" s="2303"/>
      <c r="W6" s="2303"/>
      <c r="X6" s="2303"/>
      <c r="Y6" s="2303"/>
      <c r="Z6" s="2303"/>
      <c r="AA6" s="2304"/>
      <c r="AB6" s="1966"/>
      <c r="AC6" s="2303"/>
      <c r="AD6" s="2303"/>
      <c r="AE6" s="2303"/>
      <c r="AF6" s="2303"/>
      <c r="AG6" s="2303"/>
      <c r="AH6" s="2303"/>
      <c r="AI6" s="2303"/>
      <c r="AJ6" s="2304"/>
      <c r="AK6" s="1391"/>
      <c r="AM6" s="1630"/>
      <c r="AN6" s="1630" t="str">
        <f>IF(T6="","",T6)</f>
        <v/>
      </c>
      <c r="AO6" s="1630"/>
      <c r="AP6" s="1630"/>
      <c r="AQ6" s="1642">
        <v>0</v>
      </c>
    </row>
    <row s="1648" customFormat="1" customHeight="1" ht="0.75" hidden="1">
      <c r="A7" s="1381"/>
      <c r="B7" s="1381"/>
      <c r="C7" s="1381"/>
      <c r="D7" s="1381"/>
      <c r="E7" s="2296"/>
      <c r="F7" s="2296"/>
      <c r="G7" s="2296"/>
      <c r="H7" s="2296"/>
      <c r="I7" s="2107"/>
      <c r="J7" s="2133">
        <f>S5&amp;".1"</f>
      </c>
      <c r="K7" s="1381"/>
      <c r="L7" s="1387"/>
      <c r="M7" s="1252"/>
      <c r="N7" s="1252"/>
      <c r="O7" s="1252"/>
      <c r="P7" s="2263"/>
      <c r="Q7" s="2263">
        <v>1</v>
      </c>
      <c r="R7" s="363"/>
      <c r="S7" s="1048"/>
      <c r="T7" s="1405"/>
      <c r="U7" s="1390"/>
      <c r="V7" s="2303"/>
      <c r="W7" s="2303"/>
      <c r="X7" s="2303"/>
      <c r="Y7" s="2303"/>
      <c r="Z7" s="2303"/>
      <c r="AA7" s="2304"/>
      <c r="AB7" s="1966"/>
      <c r="AC7" s="2303"/>
      <c r="AD7" s="2303"/>
      <c r="AE7" s="2303"/>
      <c r="AF7" s="2303"/>
      <c r="AG7" s="2303"/>
      <c r="AH7" s="2303"/>
      <c r="AI7" s="2303"/>
      <c r="AJ7" s="2304"/>
      <c r="AK7" s="1391"/>
      <c r="AM7" s="1630"/>
      <c r="AN7" s="1630" t="str">
        <f>IF(T7="","",T7)</f>
        <v/>
      </c>
      <c r="AO7" s="1630"/>
      <c r="AP7" s="1630"/>
      <c r="AQ7" s="1642">
        <v>0</v>
      </c>
    </row>
    <row customHeight="1" ht="21" hidden="1">
      <c r="A8" s="1273"/>
      <c r="B8" s="1273"/>
      <c r="C8" s="1273"/>
      <c r="D8" s="1273"/>
      <c r="E8" s="2296"/>
      <c r="F8" s="2296"/>
      <c r="G8" s="2296"/>
      <c r="H8" s="2296"/>
      <c r="I8" s="2107"/>
      <c r="J8" s="2107"/>
      <c r="K8" s="1997">
        <f>S5&amp;".1"</f>
      </c>
      <c r="L8" s="1316"/>
      <c r="P8" s="2263"/>
      <c r="Q8" s="2263"/>
      <c r="R8" s="2001">
        <v>1</v>
      </c>
      <c r="S8" s="1999">
        <f>$K8</f>
      </c>
      <c r="T8" s="2000"/>
      <c r="U8" s="306"/>
      <c r="V8" s="757"/>
      <c r="W8" s="1263"/>
      <c r="X8" s="1998"/>
      <c r="Y8" s="1996" t="s">
        <v>62</v>
      </c>
      <c r="Z8" s="1998"/>
      <c r="AA8" s="1996" t="s">
        <v>62</v>
      </c>
      <c r="AB8" s="2002"/>
      <c r="AC8" s="2003" t="s">
        <v>28</v>
      </c>
      <c r="AD8" s="757"/>
      <c r="AE8" s="1263"/>
      <c r="AF8" s="1961"/>
      <c r="AG8" s="1948" t="s">
        <v>62</v>
      </c>
      <c r="AH8" s="1961"/>
      <c r="AI8" s="1948" t="s">
        <v>62</v>
      </c>
      <c r="AJ8" s="1354"/>
      <c r="AK8" s="2259" t="s">
        <v>477</v>
      </c>
      <c r="AL8" s="1642">
        <f>STRCHECKDATE(#REF!)</f>
      </c>
      <c r="AM8" s="1630"/>
      <c r="AN8" s="1630" t="str">
        <f>IF(T8="","",T8)</f>
        <v/>
      </c>
      <c r="AO8" s="1630"/>
      <c r="AP8" s="1630"/>
      <c r="AQ8" s="1637">
        <v>0</v>
      </c>
    </row>
    <row customHeight="1" ht="11.25" hidden="1">
      <c r="A9" s="1273"/>
      <c r="B9" s="1273"/>
      <c r="C9" s="1273"/>
      <c r="D9" s="1273"/>
      <c r="E9" s="2296"/>
      <c r="F9" s="2296"/>
      <c r="G9" s="2296"/>
      <c r="H9" s="2296"/>
      <c r="I9" s="2107"/>
      <c r="J9" s="2133"/>
      <c r="K9" s="1273"/>
      <c r="L9" s="1316"/>
      <c r="P9" s="2263"/>
      <c r="Q9" s="2263"/>
      <c r="R9" s="362"/>
      <c r="S9" s="1284"/>
      <c r="T9" s="293" t="s">
        <v>481</v>
      </c>
      <c r="U9" s="606"/>
      <c r="V9" s="606"/>
      <c r="W9" s="606"/>
      <c r="X9" s="606"/>
      <c r="Y9" s="606"/>
      <c r="Z9" s="606"/>
      <c r="AA9" s="606"/>
      <c r="AB9" s="606"/>
      <c r="AC9" s="606"/>
      <c r="AD9" s="606"/>
      <c r="AE9" s="606"/>
      <c r="AF9" s="606"/>
      <c r="AG9" s="606"/>
      <c r="AH9" s="606"/>
      <c r="AI9" s="606"/>
      <c r="AJ9" s="330"/>
      <c r="AK9" s="2261"/>
      <c r="AM9" s="1630"/>
      <c r="AN9" s="1630" t="str">
        <f>IF(T9="","",T9)</f>
        <v>Добавить строку</v>
      </c>
      <c r="AO9" s="1630"/>
      <c r="AP9" s="1630"/>
      <c r="AQ9" s="1637">
        <v>0</v>
      </c>
    </row>
    <row s="1648" customFormat="1" customHeight="1" ht="0.75" hidden="1">
      <c r="A10" s="1381"/>
      <c r="B10" s="1381"/>
      <c r="C10" s="1381"/>
      <c r="D10" s="1381"/>
      <c r="E10" s="2296"/>
      <c r="F10" s="2296"/>
      <c r="G10" s="2296"/>
      <c r="H10" s="2296"/>
      <c r="I10" s="2133"/>
      <c r="J10" s="1381"/>
      <c r="K10" s="1381"/>
      <c r="L10" s="1387"/>
      <c r="M10" s="1252"/>
      <c r="N10" s="1252"/>
      <c r="O10" s="1252"/>
      <c r="P10" s="2263"/>
      <c r="Q10" s="1960"/>
      <c r="R10" s="362"/>
      <c r="S10" s="1392"/>
      <c r="T10" s="1393"/>
      <c r="U10" s="1394"/>
      <c r="V10" s="1394"/>
      <c r="W10" s="1394"/>
      <c r="X10" s="1394"/>
      <c r="Y10" s="1394"/>
      <c r="Z10" s="1394"/>
      <c r="AA10" s="1394"/>
      <c r="AB10" s="1394"/>
      <c r="AC10" s="1394"/>
      <c r="AD10" s="1394"/>
      <c r="AE10" s="1394"/>
      <c r="AF10" s="1394"/>
      <c r="AG10" s="1394"/>
      <c r="AH10" s="1394"/>
      <c r="AI10" s="1394"/>
      <c r="AJ10" s="1394"/>
      <c r="AK10" s="1395"/>
      <c r="AM10" s="1630"/>
      <c r="AN10" s="1630" t="str">
        <f>IF(T10="","",T10)</f>
        <v/>
      </c>
      <c r="AO10" s="1630"/>
      <c r="AP10" s="1630"/>
      <c r="AQ10" s="1642">
        <v>0</v>
      </c>
    </row>
    <row s="1648" customFormat="1" customHeight="1" ht="0.75" hidden="1">
      <c r="A11" s="1381"/>
      <c r="B11" s="1381"/>
      <c r="C11" s="1381"/>
      <c r="D11" s="1381"/>
      <c r="E11" s="2296"/>
      <c r="F11" s="2296"/>
      <c r="G11" s="2296"/>
      <c r="H11" s="2295"/>
      <c r="I11" s="1381"/>
      <c r="J11" s="1381"/>
      <c r="K11" s="1381"/>
      <c r="L11" s="1387"/>
      <c r="M11" s="1384"/>
      <c r="N11" s="1384"/>
      <c r="O11" s="357"/>
      <c r="P11" s="386"/>
      <c r="Q11" s="1350"/>
      <c r="R11" s="1407"/>
      <c r="S11" s="1392"/>
      <c r="T11" s="1393"/>
      <c r="U11" s="1394"/>
      <c r="V11" s="1394"/>
      <c r="W11" s="1394"/>
      <c r="X11" s="1394"/>
      <c r="Y11" s="1394"/>
      <c r="Z11" s="1394"/>
      <c r="AA11" s="1394"/>
      <c r="AB11" s="1394"/>
      <c r="AC11" s="1394"/>
      <c r="AD11" s="1394"/>
      <c r="AE11" s="1394"/>
      <c r="AF11" s="1394"/>
      <c r="AG11" s="1394"/>
      <c r="AH11" s="1394"/>
      <c r="AI11" s="1394"/>
      <c r="AJ11" s="1394"/>
      <c r="AK11" s="1395"/>
      <c r="AM11" s="1630"/>
      <c r="AN11" s="1630" t="str">
        <f>IF(T11="","",T11)</f>
        <v/>
      </c>
      <c r="AO11" s="1630"/>
      <c r="AP11" s="1630"/>
      <c r="AQ11" s="1642">
        <v>0</v>
      </c>
    </row>
    <row s="1648" customFormat="1" customHeight="1" ht="0.75" hidden="1">
      <c r="A12" s="1381"/>
      <c r="B12" s="1381"/>
      <c r="C12" s="1381"/>
      <c r="D12" s="1380"/>
      <c r="E12" s="2296"/>
      <c r="F12" s="2296"/>
      <c r="G12" s="2295"/>
      <c r="H12" s="1380"/>
      <c r="I12" s="1380"/>
      <c r="J12" s="1380"/>
      <c r="K12" s="1380"/>
      <c r="L12" s="1383"/>
      <c r="M12" s="1384"/>
      <c r="N12" s="1384"/>
      <c r="O12" s="357"/>
      <c r="P12" s="1322"/>
      <c r="Q12" s="1323"/>
      <c r="R12" s="1322"/>
      <c r="S12" s="1328"/>
      <c r="T12" s="1331" t="s">
        <v>430</v>
      </c>
      <c r="U12" s="1330"/>
      <c r="V12" s="1330"/>
      <c r="W12" s="1330"/>
      <c r="X12" s="1330"/>
      <c r="Y12" s="1330"/>
      <c r="Z12" s="1330"/>
      <c r="AA12" s="1330"/>
      <c r="AB12" s="1330"/>
      <c r="AC12" s="1330"/>
      <c r="AD12" s="1330"/>
      <c r="AE12" s="1330"/>
      <c r="AF12" s="1330"/>
      <c r="AG12" s="1330"/>
      <c r="AH12" s="1330"/>
      <c r="AI12" s="1330"/>
      <c r="AJ12" s="1330"/>
      <c r="AK12" s="1330"/>
      <c r="AM12" s="1257"/>
      <c r="AN12" s="1257" t="str">
        <f>IF(T12="","",T12)</f>
        <v>Добавить источник для дифференциации</v>
      </c>
      <c r="AO12" s="1257"/>
      <c r="AP12" s="1257"/>
      <c r="AQ12" s="1648">
        <v>0</v>
      </c>
    </row>
    <row s="1648" customFormat="1" customHeight="1" ht="0.75" hidden="1">
      <c r="A13" s="1381"/>
      <c r="B13" s="1381"/>
      <c r="C13" s="1380"/>
      <c r="D13" s="1380"/>
      <c r="E13" s="2296"/>
      <c r="F13" s="2295"/>
      <c r="G13" s="1380"/>
      <c r="H13" s="1380"/>
      <c r="I13" s="1380"/>
      <c r="J13" s="1380"/>
      <c r="K13" s="1380"/>
      <c r="L13" s="1383"/>
      <c r="M13" s="1385"/>
      <c r="N13" s="1385"/>
      <c r="O13" s="357"/>
      <c r="P13" s="1322"/>
      <c r="Q13" s="1323"/>
      <c r="R13" s="1322"/>
      <c r="S13" s="1328"/>
      <c r="T13" s="1331" t="s">
        <v>251</v>
      </c>
      <c r="U13" s="1330"/>
      <c r="V13" s="1330"/>
      <c r="W13" s="1330"/>
      <c r="X13" s="1330"/>
      <c r="Y13" s="1330"/>
      <c r="Z13" s="1330"/>
      <c r="AA13" s="1330"/>
      <c r="AB13" s="1330"/>
      <c r="AC13" s="1330"/>
      <c r="AD13" s="1330"/>
      <c r="AE13" s="1330"/>
      <c r="AF13" s="1330"/>
      <c r="AG13" s="1330"/>
      <c r="AH13" s="1330"/>
      <c r="AI13" s="1330"/>
      <c r="AJ13" s="1330"/>
      <c r="AK13" s="1330"/>
      <c r="AM13" s="1257"/>
      <c r="AN13" s="1257" t="str">
        <f>IF(T13="","",T13)</f>
        <v>Добавить централизованную систему для дифференциации</v>
      </c>
      <c r="AO13" s="1257"/>
      <c r="AP13" s="1257"/>
      <c r="AQ13" s="1648">
        <v>0</v>
      </c>
    </row>
    <row s="1648" customFormat="1" customHeight="1" ht="0.75" hidden="1">
      <c r="A14" s="1381"/>
      <c r="B14" s="1381"/>
      <c r="C14" s="1381"/>
      <c r="D14" s="1381"/>
      <c r="E14" s="2295"/>
      <c r="F14" s="1381"/>
      <c r="G14" s="1381"/>
      <c r="H14" s="1381"/>
      <c r="I14" s="1381"/>
      <c r="J14" s="1381"/>
      <c r="K14" s="1381"/>
      <c r="L14" s="1387"/>
      <c r="M14" s="1385"/>
      <c r="N14" s="1385"/>
      <c r="O14" s="357"/>
      <c r="P14" s="386"/>
      <c r="Q14" s="1350"/>
      <c r="R14" s="386"/>
      <c r="S14" s="1328"/>
      <c r="T14" s="1331" t="s">
        <v>252</v>
      </c>
      <c r="U14" s="1330"/>
      <c r="V14" s="1330"/>
      <c r="W14" s="1330"/>
      <c r="X14" s="1330"/>
      <c r="Y14" s="1330"/>
      <c r="Z14" s="1330"/>
      <c r="AA14" s="1330"/>
      <c r="AB14" s="1330"/>
      <c r="AC14" s="1330"/>
      <c r="AD14" s="1330"/>
      <c r="AE14" s="1330"/>
      <c r="AF14" s="1330"/>
      <c r="AG14" s="1330"/>
      <c r="AH14" s="1330"/>
      <c r="AI14" s="1330"/>
      <c r="AJ14" s="1330"/>
      <c r="AK14" s="1330"/>
      <c r="AM14" s="1630"/>
      <c r="AN14" s="1630" t="str">
        <f>IF(T14="","",T14)</f>
        <v>Добавить территорию для дифференциации</v>
      </c>
      <c r="AO14" s="1630"/>
      <c r="AP14" s="1630"/>
      <c r="AQ14" s="1642">
        <v>0</v>
      </c>
    </row>
    <row customHeight="1" ht="14.25" hidden="1">
      <c r="AQ15" s="1637">
        <v>0</v>
      </c>
    </row>
    <row customHeight="1" ht="14.25" hidden="1">
      <c r="AC16" s="1508"/>
      <c r="AD16" s="1409"/>
      <c r="AE16" s="1410"/>
      <c r="AF16" s="1742"/>
      <c r="AG16" s="1972" t="s">
        <v>62</v>
      </c>
      <c r="AH16" s="1742"/>
      <c r="AI16" s="1972" t="s">
        <v>62</v>
      </c>
      <c r="AQ16" s="1637">
        <v>0</v>
      </c>
    </row>
    <row customHeight="1" ht="14.25" hidden="1">
      <c r="AL17" s="1647"/>
      <c r="AM17" s="1647"/>
      <c r="AN17" s="1647"/>
      <c r="AO17" s="1647"/>
      <c r="AP17" s="1647"/>
      <c r="AQ17" s="1637">
        <v>0</v>
      </c>
    </row>
    <row customHeight="1" ht="14.25" hidden="1">
      <c r="O18" s="1351" t="s">
        <v>431</v>
      </c>
      <c r="X18" s="1351"/>
      <c r="Z18" s="1351"/>
      <c r="AF18" s="1351"/>
      <c r="AH18" s="1351"/>
      <c r="AL18" s="1647"/>
      <c r="AM18" s="1647"/>
      <c r="AN18" s="1647"/>
      <c r="AO18" s="1647"/>
      <c r="AP18" s="1647"/>
      <c r="AQ18" s="1637">
        <v>0</v>
      </c>
    </row>
    <row customHeight="1" ht="14.25" hidden="1">
      <c r="AL19" s="1647"/>
      <c r="AM19" s="1647"/>
      <c r="AN19" s="1647"/>
      <c r="AO19" s="1647"/>
      <c r="AP19" s="1647"/>
      <c r="AQ19" s="1637">
        <v>0</v>
      </c>
    </row>
    <row s="1515" customFormat="1" customHeight="1" ht="14.25" hidden="1">
      <c r="A20" s="1977"/>
      <c r="B20" s="1977"/>
      <c r="C20" s="1977"/>
      <c r="D20" s="1977"/>
      <c r="E20" s="1977"/>
      <c r="F20" s="1977"/>
      <c r="G20" s="1977"/>
      <c r="H20" s="1977"/>
      <c r="I20" s="1977"/>
      <c r="J20" s="1977"/>
      <c r="K20" s="1977"/>
      <c r="L20" s="1977"/>
      <c r="M20" s="1978"/>
      <c r="N20" s="1978"/>
      <c r="O20" s="1979" t="s">
        <v>432</v>
      </c>
      <c r="P20" s="1514"/>
      <c r="Q20" s="1516"/>
      <c r="R20" s="1516"/>
      <c r="Y20" s="1513" t="s">
        <v>434</v>
      </c>
      <c r="AA20" s="1513" t="s">
        <v>435</v>
      </c>
      <c r="AC20" s="1513" t="s">
        <v>483</v>
      </c>
      <c r="AG20" s="1513" t="s">
        <v>434</v>
      </c>
      <c r="AI20" s="1513" t="s">
        <v>435</v>
      </c>
      <c r="AL20" s="1517"/>
      <c r="AM20" s="1517"/>
      <c r="AN20" s="1517"/>
      <c r="AO20" s="1517"/>
      <c r="AP20" s="1517"/>
      <c r="AQ20" s="1513">
        <v>0</v>
      </c>
    </row>
    <row customHeight="1" ht="14.25" hidden="1">
      <c r="O21" s="1316"/>
      <c r="AL21" s="1647"/>
      <c r="AM21" s="1647"/>
      <c r="AN21" s="1647"/>
      <c r="AO21" s="1647"/>
      <c r="AP21" s="1647"/>
      <c r="AQ21" s="1637">
        <v>0</v>
      </c>
    </row>
    <row customHeight="1" ht="14.25" hidden="1">
      <c r="O22" s="1316"/>
      <c r="AL22" s="1647"/>
      <c r="AM22" s="1647"/>
      <c r="AN22" s="1647"/>
      <c r="AO22" s="1647"/>
      <c r="AP22" s="1647"/>
      <c r="AQ22" s="1637">
        <v>0</v>
      </c>
    </row>
    <row customHeight="1" ht="14.699999999999998">
      <c r="Q23" s="297"/>
      <c r="R23" s="382"/>
      <c r="S23" s="1281"/>
      <c r="T23" s="463"/>
      <c r="U23" s="463"/>
      <c r="V23" s="1641"/>
      <c r="W23" s="1641"/>
      <c r="X23" s="1641"/>
      <c r="Y23" s="1641"/>
      <c r="Z23" s="1641"/>
      <c r="AA23" s="1641"/>
      <c r="AB23" s="1641"/>
      <c r="AC23" s="1641"/>
      <c r="AD23" s="1641"/>
      <c r="AE23" s="1641"/>
      <c r="AF23" s="1641"/>
      <c r="AG23" s="1641"/>
      <c r="AH23" s="1641"/>
      <c r="AI23" s="1641"/>
      <c r="AQ23" s="1637">
        <v>14</v>
      </c>
    </row>
    <row customHeight="1" ht="39.75">
      <c r="Q24" s="297"/>
      <c r="R24" s="382"/>
      <c r="S24" s="225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4"/>
      <c r="U24" s="2254"/>
      <c r="V24" s="2254"/>
      <c r="W24" s="2254"/>
      <c r="X24" s="2254"/>
      <c r="Y24" s="2254"/>
      <c r="Z24" s="2254"/>
      <c r="AA24" s="2254"/>
      <c r="AB24" s="2254"/>
      <c r="AC24" s="2254"/>
      <c r="AD24" s="2254"/>
      <c r="AE24" s="2254"/>
      <c r="AF24" s="2254"/>
      <c r="AG24" s="2254"/>
      <c r="AH24" s="2254"/>
      <c r="AI24" s="1249"/>
      <c r="AQ24" s="1637">
        <v>38</v>
      </c>
    </row>
    <row customHeight="1" ht="14.699999999999998">
      <c r="Q25" s="297"/>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1249"/>
      <c r="AQ25" s="1637">
        <v>14</v>
      </c>
    </row>
    <row customHeight="1" ht="14.25" hidden="1">
      <c r="Q26" s="297"/>
      <c r="R26" s="382"/>
      <c r="S26" s="1281"/>
      <c r="T26" s="463"/>
      <c r="U26" s="463"/>
      <c r="V26" s="328"/>
      <c r="W26" s="328"/>
      <c r="X26" s="328"/>
      <c r="Y26" s="328"/>
      <c r="Z26" s="328"/>
      <c r="AA26" s="328"/>
      <c r="AB26" s="328"/>
      <c r="AC26" s="328"/>
      <c r="AD26" s="328"/>
      <c r="AE26" s="328"/>
      <c r="AF26" s="328"/>
      <c r="AG26" s="328"/>
      <c r="AH26" s="328"/>
      <c r="AI26" s="328"/>
      <c r="AJ26" s="1641"/>
      <c r="AQ26" s="1637">
        <v>0</v>
      </c>
    </row>
    <row s="1859" customFormat="1" customHeight="1" ht="25.5" hidden="1">
      <c r="A27" s="1254"/>
      <c r="B27" s="1254"/>
      <c r="C27" s="1254"/>
      <c r="D27" s="1254"/>
      <c r="E27" s="1254"/>
      <c r="F27" s="1254"/>
      <c r="G27" s="1254"/>
      <c r="H27" s="1254"/>
      <c r="I27" s="1254"/>
      <c r="J27" s="1254"/>
      <c r="K27" s="1254"/>
      <c r="L27" s="1386"/>
      <c r="M27" s="1254"/>
      <c r="N27" s="1254"/>
      <c r="O27" s="1254"/>
      <c r="P27" s="1374"/>
      <c r="Q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1641"/>
      <c r="AB27" s="1641"/>
      <c r="AC27" s="2257"/>
      <c r="AD27" s="2257"/>
      <c r="AE27" s="2257"/>
      <c r="AF27" s="2257"/>
      <c r="AG27" s="2257"/>
      <c r="AH27" s="2257"/>
      <c r="AI27" s="1641"/>
      <c r="AJ27" s="1641"/>
      <c r="AK27" s="286"/>
      <c r="AL27" s="374"/>
      <c r="AM27" s="374"/>
      <c r="AN27" s="374"/>
      <c r="AO27" s="374"/>
      <c r="AP27" s="374"/>
      <c r="AQ27" s="424">
        <v>0</v>
      </c>
    </row>
    <row s="1859" customFormat="1" customHeight="1" ht="18.75" hidden="1">
      <c r="A28" s="1254"/>
      <c r="B28" s="1254"/>
      <c r="C28" s="1254"/>
      <c r="D28" s="1254"/>
      <c r="E28" s="1254"/>
      <c r="F28" s="1254"/>
      <c r="G28" s="1254"/>
      <c r="H28" s="1254"/>
      <c r="I28" s="1254"/>
      <c r="J28" s="1254"/>
      <c r="K28" s="1254"/>
      <c r="L28" s="1386"/>
      <c r="M28" s="1254"/>
      <c r="N28" s="1254"/>
      <c r="O28" s="1254"/>
      <c r="P28" s="1374"/>
      <c r="Q28" s="1374"/>
      <c r="S28" s="2256" t="s">
        <v>437</v>
      </c>
      <c r="T28" s="2256"/>
      <c r="U28" s="1378"/>
      <c r="V28" s="2270" t="str">
        <f>IF(TITLE_DATE_PR_CHANGE="",IF(TITLE_DATE_PR="","",TITLE_DATE_PR),TITLE_DATE_PR_CHANGE)</f>
        <v>46003.502546296295</v>
      </c>
      <c r="W28" s="2270"/>
      <c r="X28" s="2270"/>
      <c r="Y28" s="2270"/>
      <c r="Z28" s="2270"/>
      <c r="AA28" s="1641"/>
      <c r="AB28" s="1641"/>
      <c r="AC28" s="2270"/>
      <c r="AD28" s="2270"/>
      <c r="AE28" s="2270"/>
      <c r="AF28" s="2270"/>
      <c r="AG28" s="2270"/>
      <c r="AH28" s="2270"/>
      <c r="AI28" s="1641"/>
      <c r="AJ28" s="1641"/>
      <c r="AK28" s="286"/>
      <c r="AL28" s="374"/>
      <c r="AM28" s="374"/>
      <c r="AN28" s="374"/>
      <c r="AO28" s="374"/>
      <c r="AP28" s="374"/>
      <c r="AQ28" s="424">
        <v>0</v>
      </c>
    </row>
    <row s="1859" customFormat="1" customHeight="1" ht="18.75" hidden="1">
      <c r="A29" s="1254"/>
      <c r="B29" s="1254"/>
      <c r="C29" s="1254"/>
      <c r="D29" s="1254"/>
      <c r="E29" s="1254"/>
      <c r="F29" s="1254"/>
      <c r="G29" s="1254"/>
      <c r="H29" s="1254"/>
      <c r="I29" s="1254"/>
      <c r="J29" s="1254"/>
      <c r="K29" s="1254"/>
      <c r="L29" s="1386"/>
      <c r="M29" s="1254"/>
      <c r="N29" s="1254"/>
      <c r="O29" s="1254"/>
      <c r="P29" s="1374"/>
      <c r="Q29" s="1374"/>
      <c r="S29" s="2256" t="s">
        <v>438</v>
      </c>
      <c r="T29" s="2256"/>
      <c r="U29" s="1378"/>
      <c r="V29" s="2257" t="str">
        <f>IF(TITLE_NUMBER_PR_CHANGE="",IF(TITLE_NUMBER_PR="","",TITLE_NUMBER_PR),TITLE_NUMBER_PR_CHANGE)</f>
        <v>№ 222</v>
      </c>
      <c r="W29" s="2257"/>
      <c r="X29" s="2257"/>
      <c r="Y29" s="2257"/>
      <c r="Z29" s="2257"/>
      <c r="AA29" s="1641"/>
      <c r="AB29" s="1641"/>
      <c r="AC29" s="2257"/>
      <c r="AD29" s="2257"/>
      <c r="AE29" s="2257"/>
      <c r="AF29" s="2257"/>
      <c r="AG29" s="2257"/>
      <c r="AH29" s="2257"/>
      <c r="AI29" s="1641"/>
      <c r="AJ29" s="1641"/>
      <c r="AK29" s="286"/>
      <c r="AL29" s="374"/>
      <c r="AM29" s="374"/>
      <c r="AN29" s="374"/>
      <c r="AO29" s="374"/>
      <c r="AP29" s="374"/>
      <c r="AQ29" s="424">
        <v>0</v>
      </c>
    </row>
    <row s="1859" customFormat="1" customHeight="1" ht="18.75" hidden="1">
      <c r="A30" s="1254"/>
      <c r="B30" s="1254"/>
      <c r="C30" s="1254"/>
      <c r="D30" s="1254"/>
      <c r="E30" s="1254"/>
      <c r="F30" s="1254"/>
      <c r="G30" s="1254"/>
      <c r="H30" s="1254"/>
      <c r="I30" s="1254"/>
      <c r="J30" s="1254"/>
      <c r="K30" s="1254"/>
      <c r="L30" s="1386"/>
      <c r="M30" s="1254"/>
      <c r="N30" s="1254"/>
      <c r="O30" s="1254"/>
      <c r="P30" s="1374"/>
      <c r="Q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1641"/>
      <c r="AB30" s="1641"/>
      <c r="AC30" s="2257"/>
      <c r="AD30" s="2257"/>
      <c r="AE30" s="2257"/>
      <c r="AF30" s="2257"/>
      <c r="AG30" s="2257"/>
      <c r="AH30" s="2257"/>
      <c r="AI30" s="1641"/>
      <c r="AJ30" s="1641"/>
      <c r="AK30" s="286"/>
      <c r="AL30" s="374"/>
      <c r="AM30" s="374"/>
      <c r="AN30" s="374"/>
      <c r="AO30" s="374"/>
      <c r="AP30" s="374"/>
      <c r="AQ30" s="424">
        <v>0</v>
      </c>
    </row>
    <row customHeight="1" ht="14.25" hidden="1">
      <c r="Q31" s="297"/>
      <c r="R31" s="382"/>
      <c r="S31" s="1281"/>
      <c r="T31" s="463"/>
      <c r="U31" s="463"/>
      <c r="V31" s="328"/>
      <c r="W31" s="328"/>
      <c r="X31" s="328"/>
      <c r="Y31" s="328"/>
      <c r="Z31" s="328"/>
      <c r="AA31" s="328"/>
      <c r="AB31" s="328"/>
      <c r="AC31" s="328"/>
      <c r="AD31" s="328"/>
      <c r="AE31" s="328"/>
      <c r="AF31" s="328"/>
      <c r="AG31" s="328"/>
      <c r="AH31" s="328"/>
      <c r="AI31" s="328"/>
      <c r="AJ31" s="1641"/>
      <c r="AQ31" s="1637">
        <v>0</v>
      </c>
    </row>
    <row s="1859" customFormat="1" customHeight="1" ht="18.75" hidden="1">
      <c r="A32" s="1254"/>
      <c r="B32" s="1254"/>
      <c r="C32" s="1254"/>
      <c r="D32" s="1254"/>
      <c r="E32" s="1254"/>
      <c r="F32" s="1254"/>
      <c r="G32" s="1254"/>
      <c r="H32" s="1254"/>
      <c r="I32" s="1254"/>
      <c r="J32" s="1254"/>
      <c r="K32" s="1254"/>
      <c r="L32" s="1386"/>
      <c r="M32" s="1254"/>
      <c r="N32" s="1254"/>
      <c r="O32" s="1254"/>
      <c r="P32" s="1374"/>
      <c r="Q32" s="1374"/>
      <c r="S32" s="2256" t="s">
        <v>437</v>
      </c>
      <c r="T32" s="2256"/>
      <c r="U32" s="1378"/>
      <c r="V32" s="2270" t="str">
        <f>IF(TITLE_DATE_PR_CHANGE="",IF(TITLE_DATE_PR="","",TITLE_DATE_PR),TITLE_DATE_PR_CHANGE)</f>
        <v>46003.502546296295</v>
      </c>
      <c r="W32" s="2270"/>
      <c r="X32" s="2270"/>
      <c r="Y32" s="2270"/>
      <c r="Z32" s="2270"/>
      <c r="AA32" s="1641"/>
      <c r="AB32" s="1641"/>
      <c r="AC32" s="2270"/>
      <c r="AD32" s="2270"/>
      <c r="AE32" s="2270"/>
      <c r="AF32" s="2270"/>
      <c r="AG32" s="2270"/>
      <c r="AH32" s="2270"/>
      <c r="AI32" s="1641"/>
      <c r="AJ32" s="1641"/>
      <c r="AK32" s="286"/>
      <c r="AL32" s="374"/>
      <c r="AM32" s="374"/>
      <c r="AN32" s="374"/>
      <c r="AO32" s="374"/>
      <c r="AP32" s="374"/>
      <c r="AQ32" s="424">
        <v>0</v>
      </c>
    </row>
    <row s="1859" customFormat="1" customHeight="1" ht="18" hidden="1">
      <c r="A33" s="1254"/>
      <c r="B33" s="1254"/>
      <c r="C33" s="1254"/>
      <c r="D33" s="1254"/>
      <c r="E33" s="1254"/>
      <c r="F33" s="1254"/>
      <c r="G33" s="1254"/>
      <c r="H33" s="1254"/>
      <c r="I33" s="1254"/>
      <c r="J33" s="1254"/>
      <c r="K33" s="1254"/>
      <c r="L33" s="1386"/>
      <c r="M33" s="1254"/>
      <c r="N33" s="1254"/>
      <c r="O33" s="1254"/>
      <c r="P33" s="1374"/>
      <c r="Q33" s="1374"/>
      <c r="S33" s="2256" t="s">
        <v>438</v>
      </c>
      <c r="T33" s="2256"/>
      <c r="U33" s="1378"/>
      <c r="V33" s="2257" t="str">
        <f>IF(TITLE_NUMBER_PR_CHANGE="",IF(TITLE_NUMBER_PR="","",TITLE_NUMBER_PR),TITLE_NUMBER_PR_CHANGE)</f>
        <v>№ 222</v>
      </c>
      <c r="W33" s="2257"/>
      <c r="X33" s="2257"/>
      <c r="Y33" s="2257"/>
      <c r="Z33" s="2257"/>
      <c r="AA33" s="1641"/>
      <c r="AB33" s="1641"/>
      <c r="AC33" s="2257"/>
      <c r="AD33" s="2257"/>
      <c r="AE33" s="2257"/>
      <c r="AF33" s="2257"/>
      <c r="AG33" s="2257"/>
      <c r="AH33" s="2257"/>
      <c r="AI33" s="1641"/>
      <c r="AJ33" s="1641"/>
      <c r="AK33" s="286"/>
      <c r="AL33" s="374"/>
      <c r="AM33" s="374"/>
      <c r="AN33" s="374"/>
      <c r="AO33" s="374"/>
      <c r="AP33" s="374"/>
      <c r="AQ33" s="424">
        <v>0</v>
      </c>
    </row>
    <row s="1859" customFormat="1" customHeight="1" ht="1.05">
      <c r="A34" s="1254"/>
      <c r="B34" s="1254"/>
      <c r="C34" s="1254"/>
      <c r="D34" s="1254"/>
      <c r="E34" s="1254"/>
      <c r="F34" s="1254"/>
      <c r="G34" s="1254"/>
      <c r="H34" s="1254"/>
      <c r="I34" s="1254"/>
      <c r="J34" s="1254"/>
      <c r="K34" s="1254"/>
      <c r="L34" s="1386"/>
      <c r="M34" s="1254"/>
      <c r="N34" s="1254"/>
      <c r="O34" s="1254"/>
      <c r="P34" s="1374"/>
      <c r="Q34" s="1374"/>
      <c r="S34" s="1641"/>
      <c r="T34" s="1641"/>
      <c r="U34" s="1976"/>
      <c r="V34" s="1641"/>
      <c r="W34" s="1641"/>
      <c r="X34" s="1641"/>
      <c r="Y34" s="1641"/>
      <c r="Z34" s="1641"/>
      <c r="AA34" s="1648" t="s">
        <v>441</v>
      </c>
      <c r="AB34" s="1648"/>
      <c r="AC34" s="1641"/>
      <c r="AD34" s="1641"/>
      <c r="AE34" s="1641"/>
      <c r="AF34" s="1641"/>
      <c r="AG34" s="1641"/>
      <c r="AH34" s="1641"/>
      <c r="AI34" s="1648" t="s">
        <v>441</v>
      </c>
      <c r="AL34" s="374"/>
      <c r="AM34" s="374"/>
      <c r="AN34" s="374"/>
      <c r="AO34" s="374"/>
      <c r="AP34" s="374"/>
      <c r="AQ34" s="424">
        <v>1</v>
      </c>
    </row>
    <row customHeight="1" ht="14.699999999999998">
      <c r="Q35" s="297"/>
      <c r="R35" s="382"/>
      <c r="S35" s="1281"/>
      <c r="T35" s="463"/>
      <c r="U35" s="1250"/>
      <c r="V35" s="2258"/>
      <c r="W35" s="2258"/>
      <c r="X35" s="2258"/>
      <c r="Y35" s="2258"/>
      <c r="Z35" s="2258"/>
      <c r="AA35" s="2258"/>
      <c r="AB35" s="1963"/>
      <c r="AC35" s="2258"/>
      <c r="AD35" s="2258"/>
      <c r="AE35" s="2258"/>
      <c r="AF35" s="2258"/>
      <c r="AG35" s="2258"/>
      <c r="AH35" s="2258"/>
      <c r="AI35" s="2258"/>
      <c r="AQ35" s="1637">
        <v>14</v>
      </c>
    </row>
    <row customHeight="1" ht="14.699999999999998">
      <c r="Q36" s="297"/>
      <c r="R36" s="382"/>
      <c r="S36" s="2133" t="s">
        <v>316</v>
      </c>
      <c r="T36" s="2133"/>
      <c r="U36" s="2133"/>
      <c r="V36" s="2133"/>
      <c r="W36" s="2133"/>
      <c r="X36" s="2133"/>
      <c r="Y36" s="2133"/>
      <c r="Z36" s="2133"/>
      <c r="AA36" s="2181"/>
      <c r="AB36" s="2181"/>
      <c r="AC36" s="2181"/>
      <c r="AD36" s="2133"/>
      <c r="AE36" s="2133"/>
      <c r="AF36" s="2133"/>
      <c r="AG36" s="2133"/>
      <c r="AH36" s="2133"/>
      <c r="AI36" s="2133"/>
      <c r="AJ36" s="2133"/>
      <c r="AK36" s="2133" t="s">
        <v>317</v>
      </c>
      <c r="AQ36" s="1637">
        <v>14</v>
      </c>
    </row>
    <row customHeight="1" ht="14.699999999999998">
      <c r="Q37" s="297"/>
      <c r="R37" s="382"/>
      <c r="S37" s="2279" t="s">
        <v>89</v>
      </c>
      <c r="T37" s="2215" t="s">
        <v>512</v>
      </c>
      <c r="U37" s="343"/>
      <c r="V37" s="2281"/>
      <c r="W37" s="2281"/>
      <c r="X37" s="2281"/>
      <c r="Y37" s="2281"/>
      <c r="Z37" s="2281"/>
      <c r="AA37" s="2215" t="s">
        <v>444</v>
      </c>
      <c r="AB37" s="2214" t="s">
        <v>513</v>
      </c>
      <c r="AC37" s="2214" t="s">
        <v>487</v>
      </c>
      <c r="AD37" s="2297" t="s">
        <v>443</v>
      </c>
      <c r="AE37" s="2297"/>
      <c r="AF37" s="2281"/>
      <c r="AG37" s="2281"/>
      <c r="AH37" s="2282"/>
      <c r="AI37" s="2283" t="s">
        <v>444</v>
      </c>
      <c r="AJ37" s="2286" t="s">
        <v>446</v>
      </c>
      <c r="AK37" s="2133"/>
      <c r="AQ37" s="1637">
        <v>14</v>
      </c>
    </row>
    <row customHeight="1" ht="35.699999999999996">
      <c r="Q38" s="297"/>
      <c r="R38" s="382"/>
      <c r="S38" s="2279"/>
      <c r="T38" s="2215"/>
      <c r="U38" s="1037"/>
      <c r="V38" s="2109" t="s">
        <v>490</v>
      </c>
      <c r="W38" s="2133"/>
      <c r="X38" s="2300" t="s">
        <v>450</v>
      </c>
      <c r="Y38" s="2319"/>
      <c r="Z38" s="2319"/>
      <c r="AA38" s="2215"/>
      <c r="AB38" s="2214"/>
      <c r="AC38" s="2214"/>
      <c r="AD38" s="2109" t="s">
        <v>490</v>
      </c>
      <c r="AE38" s="2133"/>
      <c r="AF38" s="2319" t="s">
        <v>450</v>
      </c>
      <c r="AG38" s="2319"/>
      <c r="AH38" s="2320"/>
      <c r="AI38" s="2284"/>
      <c r="AJ38" s="2287"/>
      <c r="AK38" s="2133"/>
      <c r="AQ38" s="1637">
        <v>34</v>
      </c>
    </row>
    <row customHeight="1" ht="14.699999999999998">
      <c r="Q39" s="297"/>
      <c r="R39" s="382"/>
      <c r="S39" s="2279"/>
      <c r="T39" s="2215"/>
      <c r="U39" s="1037"/>
      <c r="V39" s="2346" t="str">
        <f>IF($AD$39&lt;&gt;"",$AD$39,"")</f>
        <v/>
      </c>
      <c r="W39" s="2346"/>
      <c r="X39" s="2301"/>
      <c r="Y39" s="2321"/>
      <c r="Z39" s="2321"/>
      <c r="AA39" s="2215"/>
      <c r="AB39" s="2214"/>
      <c r="AC39" s="2214"/>
      <c r="AD39" s="2362"/>
      <c r="AE39" s="2345"/>
      <c r="AF39" s="2321"/>
      <c r="AG39" s="2321"/>
      <c r="AH39" s="2322"/>
      <c r="AI39" s="2284"/>
      <c r="AJ39" s="2287"/>
      <c r="AK39" s="2133"/>
      <c r="AQ39" s="1637">
        <v>14</v>
      </c>
    </row>
    <row customHeight="1" ht="14.699999999999998">
      <c r="A40" s="1272"/>
      <c r="B40" s="1272" t="s">
        <v>137</v>
      </c>
      <c r="C40" s="1272" t="s">
        <v>138</v>
      </c>
      <c r="D40" s="1272" t="s">
        <v>139</v>
      </c>
      <c r="E40" s="1316" t="s">
        <v>451</v>
      </c>
      <c r="F40" s="1316" t="s">
        <v>452</v>
      </c>
      <c r="G40" s="1316" t="s">
        <v>453</v>
      </c>
      <c r="H40" s="1316" t="s">
        <v>454</v>
      </c>
      <c r="I40" s="1316" t="s">
        <v>455</v>
      </c>
      <c r="J40" s="1316" t="s">
        <v>456</v>
      </c>
      <c r="K40" s="1316" t="s">
        <v>457</v>
      </c>
      <c r="L40" s="1316" t="s">
        <v>432</v>
      </c>
      <c r="Q40" s="297"/>
      <c r="R40" s="382"/>
      <c r="S40" s="2279"/>
      <c r="T40" s="2215"/>
      <c r="U40" s="308"/>
      <c r="V40" s="1956" t="s">
        <v>491</v>
      </c>
      <c r="W40" s="1956" t="s">
        <v>492</v>
      </c>
      <c r="X40" s="1944" t="s">
        <v>460</v>
      </c>
      <c r="Y40" s="2276" t="s">
        <v>461</v>
      </c>
      <c r="Z40" s="2326"/>
      <c r="AA40" s="2215"/>
      <c r="AB40" s="2214"/>
      <c r="AC40" s="2214"/>
      <c r="AD40" s="1974" t="s">
        <v>491</v>
      </c>
      <c r="AE40" s="1965" t="s">
        <v>492</v>
      </c>
      <c r="AF40" s="1944" t="s">
        <v>460</v>
      </c>
      <c r="AG40" s="2276" t="s">
        <v>461</v>
      </c>
      <c r="AH40" s="2277"/>
      <c r="AI40" s="2285"/>
      <c r="AJ40" s="2288"/>
      <c r="AK40" s="2133"/>
      <c r="AQ40" s="1637">
        <v>14</v>
      </c>
    </row>
    <row s="1647" customFormat="1" customHeight="1" ht="11.25" hidden="1">
      <c r="A41" s="1272"/>
      <c r="B41" s="1272"/>
      <c r="C41" s="1272"/>
      <c r="D41" s="1272"/>
      <c r="E41" s="1272"/>
      <c r="F41" s="1272"/>
      <c r="G41" s="1272"/>
      <c r="H41" s="1272"/>
      <c r="I41" s="1272"/>
      <c r="J41" s="1272"/>
      <c r="K41" s="1272"/>
      <c r="L41" s="1316"/>
      <c r="M41" s="1971"/>
      <c r="N41" s="1971"/>
      <c r="O41" s="1971"/>
      <c r="P41" s="516"/>
      <c r="Q41" s="1260"/>
      <c r="R41" s="1260">
        <v>1</v>
      </c>
      <c r="S41" s="1283" t="s">
        <v>111</v>
      </c>
      <c r="T41" s="1261" t="s">
        <v>112</v>
      </c>
      <c r="U41" s="1251" t="str">
        <f>OFFSET(U41,0,-1)</f>
        <v>2</v>
      </c>
      <c r="V41" s="1962">
        <f>OFFSET(V41,0,-1)+1</f>
        <v>3</v>
      </c>
      <c r="W41" s="1962">
        <f>OFFSET(W41,0,-1)+1</f>
        <v>4</v>
      </c>
      <c r="X41" s="1962">
        <f>OFFSET(X41,0,-1)+1</f>
        <v>5</v>
      </c>
      <c r="Y41" s="2278">
        <f>OFFSET(Y41,0,-1)+1</f>
        <v>6</v>
      </c>
      <c r="Z41" s="2278"/>
      <c r="AA41" s="1347">
        <f>OFFSET(AA41,0,-2)+1</f>
        <v>7</v>
      </c>
      <c r="AB41" s="1347"/>
      <c r="AC41" s="1347"/>
      <c r="AD41" s="1962">
        <f>OFFSET(AD41,0,-1)+1</f>
        <v>1</v>
      </c>
      <c r="AE41" s="1962">
        <f>OFFSET(AE41,0,-1)+1</f>
        <v>2</v>
      </c>
      <c r="AF41" s="1962">
        <f>OFFSET(AF41,0,-1)+1</f>
        <v>3</v>
      </c>
      <c r="AG41" s="2278">
        <f>OFFSET(AG41,0,-1)+1</f>
        <v>4</v>
      </c>
      <c r="AH41" s="2278"/>
      <c r="AI41" s="1962">
        <f>OFFSET(AI41,0,-2)+1</f>
        <v>5</v>
      </c>
      <c r="AJ41" s="1251">
        <f>OFFSET(AJ41,0,-1)</f>
        <v>5</v>
      </c>
      <c r="AK41" s="1962">
        <f>OFFSET(AK41,0,-1)+1</f>
        <v>6</v>
      </c>
      <c r="AL41" s="1642"/>
      <c r="AM41" s="1642"/>
      <c r="AN41" s="1642"/>
      <c r="AO41" s="1642"/>
      <c r="AP41" s="1642"/>
      <c r="AQ41" s="1647">
        <v>0</v>
      </c>
    </row>
    <row customHeight="1" ht="107.25">
      <c r="A42" s="1273" t="s">
        <v>206</v>
      </c>
      <c r="B42" s="1273"/>
      <c r="C42" s="1273"/>
      <c r="D42" s="1273"/>
      <c r="E42" s="2295">
        <v>1</v>
      </c>
      <c r="F42" s="1273"/>
      <c r="G42" s="1273"/>
      <c r="H42" s="1273"/>
      <c r="I42" s="1273"/>
      <c r="J42" s="1273"/>
      <c r="K42" s="1273"/>
      <c r="L42" s="1316"/>
      <c r="M42" s="1616"/>
      <c r="N42" s="1616"/>
      <c r="O42" s="1616"/>
      <c r="P42" s="1415"/>
      <c r="Q42" s="879"/>
      <c r="R42" s="361"/>
      <c r="S42" s="1964">
        <f>INDEX(PT_DIFFERENTIATION_NUM_NTAR,MATCH(A42,PT_DIFFERENTIATION_NTAR_ID,0))</f>
        <v>0</v>
      </c>
      <c r="T42" s="1531" t="s">
        <v>125</v>
      </c>
      <c r="U42" s="306"/>
      <c r="V42" s="2249"/>
      <c r="W42" s="2249"/>
      <c r="X42" s="2249"/>
      <c r="Y42" s="2249"/>
      <c r="Z42" s="2249"/>
      <c r="AA42" s="2250"/>
      <c r="AB42" s="1958"/>
      <c r="AC42" s="2249" t="str">
        <f>INDEX(PT_DIFFERENTIATION_NTAR,MATCH(A42,PT_DIFFERENTIATION_NTAR_ID,0))</f>
        <v/>
      </c>
      <c r="AD42" s="2249"/>
      <c r="AE42" s="2249"/>
      <c r="AF42" s="2249"/>
      <c r="AG42" s="2249"/>
      <c r="AH42" s="2249"/>
      <c r="AI42" s="2249"/>
      <c r="AJ42" s="2250"/>
      <c r="AK42"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630"/>
      <c r="AN42" s="1630" t="str">
        <f>IF(T42="","",T42)</f>
        <v>Наименование тарифа</v>
      </c>
      <c r="AO42" s="1630"/>
      <c r="AP42" s="1630"/>
      <c r="AQ42" s="1637">
        <v>102</v>
      </c>
    </row>
    <row customHeight="1" ht="22.049999999999997">
      <c r="A43" s="1273" t="s">
        <v>206</v>
      </c>
      <c r="B43" s="1273" t="s">
        <v>207</v>
      </c>
      <c r="C43" s="1273"/>
      <c r="D43" s="1273"/>
      <c r="E43" s="2296"/>
      <c r="F43" s="2295">
        <v>1</v>
      </c>
      <c r="G43" s="1273"/>
      <c r="H43" s="1273"/>
      <c r="I43" s="1273"/>
      <c r="J43" s="1273"/>
      <c r="K43" s="1273"/>
      <c r="L43" s="1316"/>
      <c r="M43" s="1616"/>
      <c r="N43" s="1616"/>
      <c r="O43" s="1616"/>
      <c r="P43" s="1975"/>
      <c r="Q43" s="1417"/>
      <c r="R43" s="359"/>
      <c r="S43" s="1964" t="str">
        <f>INDEX(PT_DIFFERENTIATION_NUM_TER,MATCH(B43,PT_DIFFERENTIATION_TER_ID,0))</f>
        <v>.</v>
      </c>
      <c r="T43" s="1528" t="s">
        <v>413</v>
      </c>
      <c r="U43" s="306"/>
      <c r="V43" s="2249"/>
      <c r="W43" s="2249"/>
      <c r="X43" s="2249"/>
      <c r="Y43" s="2249"/>
      <c r="Z43" s="2249"/>
      <c r="AA43" s="2250"/>
      <c r="AB43" s="1958"/>
      <c r="AC43" s="2249" t="str">
        <f>INDEX(PT_DIFFERENTIATION_TER,MATCH(B43,PT_DIFFERENTIATION_TER_ID,0))</f>
        <v/>
      </c>
      <c r="AD43" s="2249"/>
      <c r="AE43" s="2249"/>
      <c r="AF43" s="2249"/>
      <c r="AG43" s="2249"/>
      <c r="AH43" s="2249"/>
      <c r="AI43" s="2249"/>
      <c r="AJ43" s="2250"/>
      <c r="AK43" s="1264" t="s">
        <v>414</v>
      </c>
      <c r="AM43" s="1630"/>
      <c r="AN43" s="1630" t="str">
        <f>IF(T43="","",T43)</f>
        <v>Территория действия тарифа</v>
      </c>
      <c r="AO43" s="1630"/>
      <c r="AP43" s="1630"/>
      <c r="AQ43" s="1637">
        <v>21</v>
      </c>
    </row>
    <row customHeight="1" ht="24">
      <c r="A44" s="1273" t="s">
        <v>206</v>
      </c>
      <c r="B44" s="1273" t="s">
        <v>207</v>
      </c>
      <c r="C44" s="1273" t="s">
        <v>208</v>
      </c>
      <c r="D44" s="1273"/>
      <c r="E44" s="2296"/>
      <c r="F44" s="2296"/>
      <c r="G44" s="2295">
        <v>1</v>
      </c>
      <c r="H44" s="1273"/>
      <c r="I44" s="1273"/>
      <c r="J44" s="1273"/>
      <c r="K44" s="1273"/>
      <c r="L44" s="1316"/>
      <c r="M44" s="1616"/>
      <c r="N44" s="1616"/>
      <c r="O44" s="1616"/>
      <c r="P44" s="1418"/>
      <c r="Q44" s="1417"/>
      <c r="R44" s="359"/>
      <c r="S44" s="1964" t="str">
        <f>INDEX(PT_DIFFERENTIATION_NUM_CS,MATCH(C44,PT_DIFFERENTIATION_CS_ID,0))</f>
        <v>..</v>
      </c>
      <c r="T44" s="315" t="s">
        <v>415</v>
      </c>
      <c r="U44" s="306"/>
      <c r="V44" s="2249"/>
      <c r="W44" s="2249"/>
      <c r="X44" s="2249"/>
      <c r="Y44" s="2249"/>
      <c r="Z44" s="2249"/>
      <c r="AA44" s="2250"/>
      <c r="AB44" s="1958"/>
      <c r="AC44" s="2249" t="str">
        <f>INDEX(PT_DIFFERENTIATION_CS,MATCH(C44,PT_DIFFERENTIATION_CS_ID,0))</f>
        <v/>
      </c>
      <c r="AD44" s="2249"/>
      <c r="AE44" s="2249"/>
      <c r="AF44" s="2249"/>
      <c r="AG44" s="2249"/>
      <c r="AH44" s="2249"/>
      <c r="AI44" s="2249"/>
      <c r="AJ44" s="2250"/>
      <c r="AK44" s="1264" t="s">
        <v>416</v>
      </c>
      <c r="AM44" s="1630"/>
      <c r="AN44" s="1630" t="str">
        <f>IF(T44="","",T44)</f>
        <v>Наименование системы теплоснабжения </v>
      </c>
      <c r="AO44" s="1630"/>
      <c r="AP44" s="1630"/>
      <c r="AQ44" s="1637">
        <v>23</v>
      </c>
    </row>
    <row customHeight="1" ht="22.049999999999997">
      <c r="A45" s="1273" t="s">
        <v>206</v>
      </c>
      <c r="B45" s="1273" t="s">
        <v>207</v>
      </c>
      <c r="C45" s="1273" t="s">
        <v>208</v>
      </c>
      <c r="D45" s="1273" t="s">
        <v>209</v>
      </c>
      <c r="E45" s="2296"/>
      <c r="F45" s="2296"/>
      <c r="G45" s="2296"/>
      <c r="H45" s="2295">
        <v>1</v>
      </c>
      <c r="I45" s="1273"/>
      <c r="J45" s="1273"/>
      <c r="K45" s="1273"/>
      <c r="L45" s="1316"/>
      <c r="M45" s="1616"/>
      <c r="N45" s="1616"/>
      <c r="O45" s="1616"/>
      <c r="P45" s="1418"/>
      <c r="Q45" s="1417"/>
      <c r="R45" s="359"/>
      <c r="S45" s="1964" t="str">
        <f>INDEX(PT_DIFFERENTIATION_NUM_IST_TE,MATCH(D45,PT_DIFFERENTIATION_IST_TE_ID,0))</f>
        <v>...</v>
      </c>
      <c r="T45" s="316" t="s">
        <v>417</v>
      </c>
      <c r="U45" s="306"/>
      <c r="V45" s="2249"/>
      <c r="W45" s="2249"/>
      <c r="X45" s="2249"/>
      <c r="Y45" s="2249"/>
      <c r="Z45" s="2249"/>
      <c r="AA45" s="2250"/>
      <c r="AB45" s="1958"/>
      <c r="AC45" s="2249" t="str">
        <f>INDEX(PT_DIFFERENTIATION_IST_TE,MATCH(D45,PT_DIFFERENTIATION_IST_TE_ID,0))</f>
        <v/>
      </c>
      <c r="AD45" s="2249"/>
      <c r="AE45" s="2249"/>
      <c r="AF45" s="2249"/>
      <c r="AG45" s="2249"/>
      <c r="AH45" s="2249"/>
      <c r="AI45" s="2249"/>
      <c r="AJ45" s="2250"/>
      <c r="AK45" s="1264" t="s">
        <v>418</v>
      </c>
      <c r="AM45" s="1630"/>
      <c r="AN45" s="1630" t="str">
        <f>IF(T45="","",T45)</f>
        <v>Источник тепловой энергии  </v>
      </c>
      <c r="AO45" s="1630"/>
      <c r="AP45" s="1630"/>
      <c r="AQ45" s="1637">
        <v>21</v>
      </c>
    </row>
    <row s="1648" customFormat="1" customHeight="1" ht="0">
      <c r="A46" s="1381" t="s">
        <v>206</v>
      </c>
      <c r="B46" s="1381" t="s">
        <v>207</v>
      </c>
      <c r="C46" s="1381" t="s">
        <v>208</v>
      </c>
      <c r="D46" s="1381" t="s">
        <v>209</v>
      </c>
      <c r="E46" s="2296"/>
      <c r="F46" s="2296"/>
      <c r="G46" s="2296"/>
      <c r="H46" s="2296"/>
      <c r="I46" s="2133" t="str">
        <f>S45&amp;".1"</f>
        <v>....1</v>
      </c>
      <c r="J46" s="1381"/>
      <c r="K46" s="1381"/>
      <c r="L46" s="1387" t="s">
        <v>419</v>
      </c>
      <c r="M46" s="1252"/>
      <c r="N46" s="1252"/>
      <c r="O46" s="1252"/>
      <c r="P46" s="2263">
        <v>1</v>
      </c>
      <c r="Q46" s="1960"/>
      <c r="R46" s="362"/>
      <c r="S46" s="1048"/>
      <c r="T46" s="1389"/>
      <c r="U46" s="1390"/>
      <c r="V46" s="2303"/>
      <c r="W46" s="2303"/>
      <c r="X46" s="2303"/>
      <c r="Y46" s="2303"/>
      <c r="Z46" s="2303"/>
      <c r="AA46" s="2304"/>
      <c r="AB46" s="1966"/>
      <c r="AC46" s="2303"/>
      <c r="AD46" s="2303"/>
      <c r="AE46" s="2303"/>
      <c r="AF46" s="2303"/>
      <c r="AG46" s="2303"/>
      <c r="AH46" s="2303"/>
      <c r="AI46" s="2303"/>
      <c r="AJ46" s="2304"/>
      <c r="AK46" s="1391"/>
      <c r="AM46" s="1630"/>
      <c r="AN46" s="1630" t="str">
        <f>IF(T46="","",T46)</f>
        <v/>
      </c>
      <c r="AO46" s="1630"/>
      <c r="AP46" s="1630"/>
      <c r="AQ46" s="1642">
        <v>0</v>
      </c>
    </row>
    <row s="1648" customFormat="1" customHeight="1" ht="0">
      <c r="A47" s="1381" t="s">
        <v>206</v>
      </c>
      <c r="B47" s="1381" t="s">
        <v>207</v>
      </c>
      <c r="C47" s="1381" t="s">
        <v>208</v>
      </c>
      <c r="D47" s="1381" t="s">
        <v>209</v>
      </c>
      <c r="E47" s="2296"/>
      <c r="F47" s="2296"/>
      <c r="G47" s="2296"/>
      <c r="H47" s="2296"/>
      <c r="I47" s="2107"/>
      <c r="J47" s="2133" t="str">
        <f>S45&amp;".1"</f>
        <v>....1</v>
      </c>
      <c r="K47" s="1381"/>
      <c r="L47" s="1387"/>
      <c r="M47" s="1252"/>
      <c r="N47" s="1252"/>
      <c r="O47" s="1252"/>
      <c r="P47" s="2263"/>
      <c r="Q47" s="2263">
        <v>1</v>
      </c>
      <c r="R47" s="363"/>
      <c r="S47" s="1048"/>
      <c r="T47" s="1405"/>
      <c r="U47" s="1390"/>
      <c r="V47" s="2303"/>
      <c r="W47" s="2303"/>
      <c r="X47" s="2303"/>
      <c r="Y47" s="2303"/>
      <c r="Z47" s="2303"/>
      <c r="AA47" s="2304"/>
      <c r="AB47" s="1966"/>
      <c r="AC47" s="2303"/>
      <c r="AD47" s="2303"/>
      <c r="AE47" s="2303"/>
      <c r="AF47" s="2303"/>
      <c r="AG47" s="2303"/>
      <c r="AH47" s="2303"/>
      <c r="AI47" s="2303"/>
      <c r="AJ47" s="2304"/>
      <c r="AK47" s="1391"/>
      <c r="AM47" s="1630"/>
      <c r="AN47" s="1630" t="str">
        <f>IF(T47="","",T47)</f>
        <v/>
      </c>
      <c r="AO47" s="1630"/>
      <c r="AP47" s="1630"/>
      <c r="AQ47" s="1642">
        <v>0</v>
      </c>
    </row>
    <row customHeight="1" ht="22.049999999999997">
      <c r="A48" s="1273" t="s">
        <v>206</v>
      </c>
      <c r="B48" s="1273" t="s">
        <v>207</v>
      </c>
      <c r="C48" s="1273" t="s">
        <v>208</v>
      </c>
      <c r="D48" s="1273" t="s">
        <v>209</v>
      </c>
      <c r="E48" s="2296"/>
      <c r="F48" s="2296"/>
      <c r="G48" s="2296"/>
      <c r="H48" s="2296"/>
      <c r="I48" s="2107"/>
      <c r="J48" s="2107"/>
      <c r="K48" s="1947" t="str">
        <f>S45&amp;".1"</f>
        <v>....1</v>
      </c>
      <c r="L48" s="1316"/>
      <c r="P48" s="2263"/>
      <c r="Q48" s="2263"/>
      <c r="R48" s="363">
        <v>1</v>
      </c>
      <c r="S48" s="1968" t="str">
        <f>$K48</f>
        <v>....1</v>
      </c>
      <c r="T48" s="1967"/>
      <c r="U48" s="306"/>
      <c r="V48" s="757"/>
      <c r="W48" s="1263"/>
      <c r="X48" s="1961"/>
      <c r="Y48" s="1948" t="s">
        <v>62</v>
      </c>
      <c r="Z48" s="1961"/>
      <c r="AA48" s="1948" t="s">
        <v>62</v>
      </c>
      <c r="AB48" s="1970"/>
      <c r="AC48" s="1969" t="s">
        <v>28</v>
      </c>
      <c r="AD48" s="757"/>
      <c r="AE48" s="1263"/>
      <c r="AF48" s="1961"/>
      <c r="AG48" s="1948" t="s">
        <v>62</v>
      </c>
      <c r="AH48" s="1961"/>
      <c r="AI48" s="1948" t="s">
        <v>62</v>
      </c>
      <c r="AJ48" s="1354"/>
      <c r="AK48" s="2259" t="s">
        <v>493</v>
      </c>
      <c r="AL48" s="1642">
        <f>STRCHECKDATE(#REF!)</f>
      </c>
      <c r="AM48" s="1630"/>
      <c r="AN48" s="1630" t="str">
        <f>IF(T48="","",T48)</f>
        <v/>
      </c>
      <c r="AO48" s="1630"/>
      <c r="AP48" s="1630"/>
      <c r="AQ48" s="1637">
        <v>21</v>
      </c>
    </row>
    <row customHeight="1" ht="11.549999999999999">
      <c r="A49" s="1273" t="s">
        <v>206</v>
      </c>
      <c r="B49" s="1273" t="s">
        <v>207</v>
      </c>
      <c r="C49" s="1273" t="s">
        <v>208</v>
      </c>
      <c r="D49" s="1273" t="s">
        <v>209</v>
      </c>
      <c r="E49" s="2296"/>
      <c r="F49" s="2296"/>
      <c r="G49" s="2296"/>
      <c r="H49" s="2296"/>
      <c r="I49" s="2107"/>
      <c r="J49" s="2133"/>
      <c r="K49" s="1273"/>
      <c r="L49" s="1316"/>
      <c r="P49" s="2263"/>
      <c r="Q49" s="2263"/>
      <c r="R49" s="362"/>
      <c r="S49" s="1284"/>
      <c r="T49" s="293" t="s">
        <v>481</v>
      </c>
      <c r="U49" s="606"/>
      <c r="V49" s="606"/>
      <c r="W49" s="606"/>
      <c r="X49" s="606"/>
      <c r="Y49" s="606"/>
      <c r="Z49" s="606"/>
      <c r="AA49" s="330"/>
      <c r="AB49" s="606"/>
      <c r="AC49" s="606"/>
      <c r="AD49" s="606"/>
      <c r="AE49" s="606"/>
      <c r="AF49" s="606"/>
      <c r="AG49" s="606"/>
      <c r="AH49" s="606"/>
      <c r="AI49" s="606"/>
      <c r="AJ49" s="330"/>
      <c r="AK49" s="2261"/>
      <c r="AM49" s="1630"/>
      <c r="AN49" s="1630" t="str">
        <f>IF(T49="","",T49)</f>
        <v>Добавить строку</v>
      </c>
      <c r="AO49" s="1630"/>
      <c r="AP49" s="1630"/>
      <c r="AQ49" s="1637">
        <v>11</v>
      </c>
    </row>
    <row s="1648" customFormat="1" customHeight="1" ht="1.05">
      <c r="A50" s="1381" t="s">
        <v>206</v>
      </c>
      <c r="B50" s="1381" t="s">
        <v>207</v>
      </c>
      <c r="C50" s="1381" t="s">
        <v>208</v>
      </c>
      <c r="D50" s="1381" t="s">
        <v>209</v>
      </c>
      <c r="E50" s="2296"/>
      <c r="F50" s="2296"/>
      <c r="G50" s="2296"/>
      <c r="H50" s="2296"/>
      <c r="I50" s="2133"/>
      <c r="J50" s="1381"/>
      <c r="K50" s="1381"/>
      <c r="L50" s="1387"/>
      <c r="M50" s="1252"/>
      <c r="N50" s="1252"/>
      <c r="O50" s="1252"/>
      <c r="P50" s="2263"/>
      <c r="Q50" s="1960"/>
      <c r="R50" s="362"/>
      <c r="S50" s="1392"/>
      <c r="T50" s="1393" t="s">
        <v>428</v>
      </c>
      <c r="U50" s="1394"/>
      <c r="V50" s="1394"/>
      <c r="W50" s="1394"/>
      <c r="X50" s="1394"/>
      <c r="Y50" s="1394"/>
      <c r="Z50" s="1394"/>
      <c r="AA50" s="1394"/>
      <c r="AB50" s="1394"/>
      <c r="AC50" s="1394"/>
      <c r="AD50" s="1394"/>
      <c r="AE50" s="1394"/>
      <c r="AF50" s="1394"/>
      <c r="AG50" s="1394"/>
      <c r="AH50" s="1394"/>
      <c r="AI50" s="1394"/>
      <c r="AJ50" s="1394"/>
      <c r="AK50" s="1395"/>
      <c r="AM50" s="1630"/>
      <c r="AN50" s="1630" t="str">
        <f>IF(T50="","",T50)</f>
        <v>Добавить группу потребителей</v>
      </c>
      <c r="AO50" s="1630"/>
      <c r="AP50" s="1630"/>
      <c r="AQ50" s="1642">
        <v>1</v>
      </c>
    </row>
    <row s="1647" customFormat="1" customHeight="1" ht="1.05">
      <c r="A51" s="1381" t="s">
        <v>206</v>
      </c>
      <c r="B51" s="1381" t="s">
        <v>207</v>
      </c>
      <c r="C51" s="1381" t="s">
        <v>208</v>
      </c>
      <c r="D51" s="1381" t="s">
        <v>209</v>
      </c>
      <c r="E51" s="2296"/>
      <c r="F51" s="2296"/>
      <c r="G51" s="2296"/>
      <c r="H51" s="2295"/>
      <c r="I51" s="1381"/>
      <c r="J51" s="1381"/>
      <c r="K51" s="1381"/>
      <c r="L51" s="1387"/>
      <c r="M51" s="1384"/>
      <c r="N51" s="1384"/>
      <c r="O51" s="357"/>
      <c r="P51" s="386"/>
      <c r="Q51" s="1350"/>
      <c r="R51" s="1406"/>
      <c r="S51" s="1392"/>
      <c r="T51" s="1393"/>
      <c r="U51" s="1394"/>
      <c r="V51" s="1394"/>
      <c r="W51" s="1394"/>
      <c r="X51" s="1394"/>
      <c r="Y51" s="1394"/>
      <c r="Z51" s="1394"/>
      <c r="AA51" s="1394"/>
      <c r="AB51" s="1394"/>
      <c r="AC51" s="1394"/>
      <c r="AD51" s="1394"/>
      <c r="AE51" s="1394"/>
      <c r="AF51" s="1394"/>
      <c r="AG51" s="1394"/>
      <c r="AH51" s="1394"/>
      <c r="AI51" s="1394"/>
      <c r="AJ51" s="1394"/>
      <c r="AK51" s="1395"/>
      <c r="AL51" s="1642"/>
      <c r="AM51" s="1630"/>
      <c r="AN51" s="1630" t="str">
        <f>IF(T51="","",T51)</f>
        <v/>
      </c>
      <c r="AO51" s="1630"/>
      <c r="AP51" s="1630"/>
      <c r="AQ51" s="1647">
        <v>1</v>
      </c>
    </row>
    <row s="1648" customFormat="1" customHeight="1" ht="1.05">
      <c r="A52" s="1381" t="s">
        <v>206</v>
      </c>
      <c r="B52" s="1381" t="s">
        <v>207</v>
      </c>
      <c r="C52" s="1381" t="s">
        <v>208</v>
      </c>
      <c r="D52" s="1380"/>
      <c r="E52" s="2296"/>
      <c r="F52" s="2296"/>
      <c r="G52" s="2295"/>
      <c r="H52" s="1380"/>
      <c r="I52" s="1380"/>
      <c r="J52" s="1380"/>
      <c r="K52" s="1380"/>
      <c r="L52" s="1383"/>
      <c r="M52" s="1384"/>
      <c r="N52" s="1384"/>
      <c r="O52" s="357"/>
      <c r="P52" s="1322"/>
      <c r="Q52" s="1323"/>
      <c r="R52" s="1322"/>
      <c r="S52" s="1328"/>
      <c r="T52" s="1331" t="s">
        <v>430</v>
      </c>
      <c r="U52" s="1330"/>
      <c r="V52" s="1330"/>
      <c r="W52" s="1330"/>
      <c r="X52" s="1330"/>
      <c r="Y52" s="1330"/>
      <c r="Z52" s="1330"/>
      <c r="AA52" s="1330"/>
      <c r="AB52" s="1330"/>
      <c r="AC52" s="1330"/>
      <c r="AD52" s="1330"/>
      <c r="AE52" s="1330"/>
      <c r="AF52" s="1330"/>
      <c r="AG52" s="1330"/>
      <c r="AH52" s="1330"/>
      <c r="AI52" s="1330"/>
      <c r="AJ52" s="1330"/>
      <c r="AK52" s="1330"/>
      <c r="AM52" s="1257"/>
      <c r="AN52" s="1257" t="str">
        <f>IF(T52="","",T52)</f>
        <v>Добавить источник для дифференциации</v>
      </c>
      <c r="AO52" s="1257"/>
      <c r="AP52" s="1257"/>
      <c r="AQ52" s="1648">
        <v>1</v>
      </c>
    </row>
    <row s="1648" customFormat="1" customHeight="1" ht="1.05">
      <c r="A53" s="1381" t="s">
        <v>206</v>
      </c>
      <c r="B53" s="1381" t="s">
        <v>207</v>
      </c>
      <c r="C53" s="1380"/>
      <c r="D53" s="1380"/>
      <c r="E53" s="2296"/>
      <c r="F53" s="2295"/>
      <c r="G53" s="1380"/>
      <c r="H53" s="1380"/>
      <c r="I53" s="1380"/>
      <c r="J53" s="1380"/>
      <c r="K53" s="1380"/>
      <c r="L53" s="1383"/>
      <c r="M53" s="1385"/>
      <c r="N53" s="1385"/>
      <c r="O53" s="357"/>
      <c r="P53" s="1322"/>
      <c r="Q53" s="1323"/>
      <c r="R53" s="1322"/>
      <c r="S53" s="1328"/>
      <c r="T53" s="1331" t="s">
        <v>251</v>
      </c>
      <c r="U53" s="1330"/>
      <c r="V53" s="1330"/>
      <c r="W53" s="1330"/>
      <c r="X53" s="1330"/>
      <c r="Y53" s="1330"/>
      <c r="Z53" s="1330"/>
      <c r="AA53" s="1330"/>
      <c r="AB53" s="1330"/>
      <c r="AC53" s="1330"/>
      <c r="AD53" s="1330"/>
      <c r="AE53" s="1330"/>
      <c r="AF53" s="1330"/>
      <c r="AG53" s="1330"/>
      <c r="AH53" s="1330"/>
      <c r="AI53" s="1330"/>
      <c r="AJ53" s="1330"/>
      <c r="AK53" s="1330"/>
      <c r="AM53" s="1257"/>
      <c r="AN53" s="1257" t="str">
        <f>IF(T53="","",T53)</f>
        <v>Добавить централизованную систему для дифференциации</v>
      </c>
      <c r="AO53" s="1257"/>
      <c r="AP53" s="1257"/>
      <c r="AQ53" s="1648">
        <v>1</v>
      </c>
    </row>
    <row s="1648" customFormat="1" customHeight="1" ht="1.05">
      <c r="A54" s="1381" t="s">
        <v>206</v>
      </c>
      <c r="B54" s="1381"/>
      <c r="C54" s="1381"/>
      <c r="D54" s="1381"/>
      <c r="E54" s="2296"/>
      <c r="F54" s="1381"/>
      <c r="G54" s="1381"/>
      <c r="H54" s="1381"/>
      <c r="I54" s="1381"/>
      <c r="J54" s="1381"/>
      <c r="K54" s="1381"/>
      <c r="L54" s="1387"/>
      <c r="M54" s="1385"/>
      <c r="N54" s="1385"/>
      <c r="O54" s="357"/>
      <c r="P54" s="386"/>
      <c r="Q54" s="1350"/>
      <c r="R54" s="386"/>
      <c r="S54" s="1328"/>
      <c r="T54" s="1331" t="s">
        <v>252</v>
      </c>
      <c r="U54" s="1330"/>
      <c r="V54" s="1330"/>
      <c r="W54" s="1330"/>
      <c r="X54" s="1330"/>
      <c r="Y54" s="1330"/>
      <c r="Z54" s="1330"/>
      <c r="AA54" s="1330"/>
      <c r="AB54" s="1330"/>
      <c r="AC54" s="1330"/>
      <c r="AD54" s="1330"/>
      <c r="AE54" s="1330"/>
      <c r="AF54" s="1330"/>
      <c r="AG54" s="1330"/>
      <c r="AH54" s="1330"/>
      <c r="AI54" s="1330"/>
      <c r="AJ54" s="1330"/>
      <c r="AK54" s="1330"/>
      <c r="AM54" s="1630"/>
      <c r="AN54" s="1630" t="str">
        <f>IF(T54="","",T54)</f>
        <v>Добавить территорию для дифференциации</v>
      </c>
      <c r="AO54" s="1630"/>
      <c r="AP54" s="1630"/>
      <c r="AQ54" s="1642">
        <v>1</v>
      </c>
    </row>
    <row s="1648" customFormat="1" customHeight="1" ht="1.05">
      <c r="A55" s="1381" t="s">
        <v>206</v>
      </c>
      <c r="B55" s="1381"/>
      <c r="C55" s="1381"/>
      <c r="D55" s="1381"/>
      <c r="E55" s="2295"/>
      <c r="F55" s="1381"/>
      <c r="G55" s="1381"/>
      <c r="H55" s="1381"/>
      <c r="I55" s="1381"/>
      <c r="J55" s="1381"/>
      <c r="K55" s="1381"/>
      <c r="L55" s="1387"/>
      <c r="M55" s="1385"/>
      <c r="N55" s="1385"/>
      <c r="O55" s="357"/>
      <c r="P55" s="386"/>
      <c r="Q55" s="1350"/>
      <c r="R55" s="386"/>
      <c r="S55" s="1328"/>
      <c r="T55" s="1331" t="s">
        <v>252</v>
      </c>
      <c r="U55" s="1330"/>
      <c r="V55" s="1330"/>
      <c r="W55" s="1330"/>
      <c r="X55" s="1330"/>
      <c r="Y55" s="1330"/>
      <c r="Z55" s="1330"/>
      <c r="AA55" s="1330"/>
      <c r="AB55" s="1330"/>
      <c r="AC55" s="1330"/>
      <c r="AD55" s="1330"/>
      <c r="AE55" s="1330"/>
      <c r="AF55" s="1330"/>
      <c r="AG55" s="1330"/>
      <c r="AH55" s="1330"/>
      <c r="AI55" s="1330"/>
      <c r="AJ55" s="1330"/>
      <c r="AK55" s="1330"/>
      <c r="AM55" s="1630"/>
      <c r="AN55" s="1630" t="str">
        <f>IF(T55="","",T55)</f>
        <v>Добавить территорию для дифференциации</v>
      </c>
      <c r="AO55" s="1630"/>
      <c r="AP55" s="1630"/>
      <c r="AQ55" s="1642">
        <v>1</v>
      </c>
    </row>
    <row s="1648" customFormat="1" customHeight="1" ht="1.05">
      <c r="A56" s="1380"/>
      <c r="B56" s="1380"/>
      <c r="C56" s="1380"/>
      <c r="D56" s="1380"/>
      <c r="E56" s="1381"/>
      <c r="F56" s="1380"/>
      <c r="G56" s="1380"/>
      <c r="H56" s="1380"/>
      <c r="I56" s="1380"/>
      <c r="J56" s="1380"/>
      <c r="K56" s="1380"/>
      <c r="L56" s="1383"/>
      <c r="M56" s="1385"/>
      <c r="N56" s="1385"/>
      <c r="O56" s="357"/>
      <c r="P56" s="1322"/>
      <c r="Q56" s="1323"/>
      <c r="R56" s="1322"/>
      <c r="S56" s="1328"/>
      <c r="T56" s="1331" t="s">
        <v>264</v>
      </c>
      <c r="U56" s="1330"/>
      <c r="V56" s="1330"/>
      <c r="W56" s="1330"/>
      <c r="X56" s="1330"/>
      <c r="Y56" s="1330"/>
      <c r="Z56" s="1330"/>
      <c r="AA56" s="1330"/>
      <c r="AB56" s="1330"/>
      <c r="AC56" s="1330"/>
      <c r="AD56" s="1330"/>
      <c r="AE56" s="1330"/>
      <c r="AF56" s="1330"/>
      <c r="AG56" s="1330"/>
      <c r="AH56" s="1330"/>
      <c r="AI56" s="1330"/>
      <c r="AJ56" s="1330"/>
      <c r="AK56" s="1330"/>
      <c r="AM56" s="1257"/>
      <c r="AN56" s="1257" t="str">
        <f>IF(T56="","",T56)</f>
        <v>Добавить наименование тарифа</v>
      </c>
      <c r="AO56" s="1257"/>
      <c r="AP56" s="1257"/>
      <c r="AQ56" s="1648">
        <v>1</v>
      </c>
    </row>
    <row customHeight="1" ht="11.549999999999999">
      <c r="M57" s="1637"/>
      <c r="N57" s="1637"/>
      <c r="O57" s="1641"/>
      <c r="P57" s="1372"/>
      <c r="Q57" s="1372"/>
      <c r="R57" s="1637"/>
      <c r="S57" s="1637"/>
      <c r="AL57" s="1637"/>
      <c r="AM57" s="1637"/>
      <c r="AN57" s="1637"/>
      <c r="AO57" s="1637"/>
      <c r="AP57" s="1637"/>
      <c r="AQ57" s="1637">
        <v>11</v>
      </c>
    </row>
    <row customHeight="1" ht="19.95">
      <c r="O58" s="1641"/>
      <c r="S58" s="1259"/>
      <c r="T58" s="2291"/>
      <c r="U58" s="2291"/>
      <c r="V58" s="2291"/>
      <c r="W58" s="2291"/>
      <c r="X58" s="2291"/>
      <c r="Y58" s="2291"/>
      <c r="Z58" s="2291"/>
      <c r="AA58" s="2291"/>
      <c r="AB58" s="2291"/>
      <c r="AC58" s="2291"/>
      <c r="AD58" s="2291"/>
      <c r="AE58" s="2291"/>
      <c r="AF58" s="2291"/>
      <c r="AG58" s="2291"/>
      <c r="AH58" s="2291"/>
      <c r="AI58" s="2291"/>
      <c r="AJ58" s="2291"/>
      <c r="AK58" s="2291"/>
      <c r="AQ58" s="1637">
        <v>19</v>
      </c>
    </row>
    <row customHeight="1" ht="21">
      <c r="O59" s="1641"/>
      <c r="T59" s="2291"/>
      <c r="U59" s="2291"/>
      <c r="V59" s="2291"/>
      <c r="W59" s="2291"/>
      <c r="X59" s="2291"/>
      <c r="Y59" s="2291"/>
      <c r="Z59" s="2291"/>
      <c r="AA59" s="2291"/>
      <c r="AB59" s="2291"/>
      <c r="AC59" s="2291"/>
      <c r="AD59" s="2291"/>
      <c r="AE59" s="2291"/>
      <c r="AF59" s="2291"/>
      <c r="AG59" s="2291"/>
      <c r="AH59" s="2291"/>
      <c r="AI59" s="2291"/>
      <c r="AJ59" s="2291"/>
      <c r="AK59" s="2291"/>
      <c r="AQ59" s="1637">
        <v>20</v>
      </c>
    </row>
    <row customHeight="1" ht="14.699999999999998">
      <c r="O60" s="1641"/>
      <c r="T60" s="1959"/>
      <c r="U60" s="1959"/>
      <c r="V60" s="1959"/>
      <c r="W60" s="1959"/>
      <c r="X60" s="1959"/>
      <c r="Y60" s="1959"/>
      <c r="Z60" s="1959"/>
      <c r="AA60" s="1959"/>
      <c r="AB60" s="1959"/>
      <c r="AC60" s="1959"/>
      <c r="AD60" s="1959"/>
      <c r="AE60" s="1959"/>
      <c r="AF60" s="1959"/>
      <c r="AG60" s="1959"/>
      <c r="AH60" s="1959"/>
      <c r="AI60" s="1959"/>
      <c r="AJ60" s="1959"/>
      <c r="AK60" s="1959"/>
      <c r="AQ60" s="1637">
        <v>14</v>
      </c>
    </row>
    <row customHeight="1" ht="19.95">
      <c r="O61" s="1641"/>
      <c r="T61" s="2291"/>
      <c r="U61" s="2291"/>
      <c r="V61" s="2291"/>
      <c r="W61" s="2291"/>
      <c r="X61" s="2291"/>
      <c r="Y61" s="2291"/>
      <c r="Z61" s="2291"/>
      <c r="AA61" s="2291"/>
      <c r="AB61" s="2291"/>
      <c r="AC61" s="2291"/>
      <c r="AD61" s="2291"/>
      <c r="AE61" s="2291"/>
      <c r="AF61" s="2291"/>
      <c r="AG61" s="2291"/>
      <c r="AH61" s="2291"/>
      <c r="AI61" s="2291"/>
      <c r="AJ61" s="2291"/>
      <c r="AK61" s="2291"/>
      <c r="AQ61" s="1637">
        <v>19</v>
      </c>
    </row>
    <row customHeight="1" ht="16.8">
      <c r="O62" s="1641"/>
      <c r="T62" s="2291"/>
      <c r="U62" s="2291"/>
      <c r="V62" s="2291"/>
      <c r="W62" s="2291"/>
      <c r="X62" s="2291"/>
      <c r="Y62" s="2291"/>
      <c r="Z62" s="2291"/>
      <c r="AA62" s="2291"/>
      <c r="AB62" s="2291"/>
      <c r="AC62" s="2291"/>
      <c r="AD62" s="2291"/>
      <c r="AE62" s="2291"/>
      <c r="AF62" s="2291"/>
      <c r="AG62" s="2291"/>
      <c r="AH62" s="2291"/>
      <c r="AI62" s="2291"/>
      <c r="AJ62" s="2291"/>
      <c r="AK62" s="2291"/>
      <c r="AQ62" s="1637">
        <v>16</v>
      </c>
    </row>
    <row customHeight="1" ht="14.699999999999998">
      <c r="O63" s="1641"/>
      <c r="AQ63" s="1637">
        <v>14</v>
      </c>
    </row>
    <row customHeight="1" ht="22.5" hidden="1">
      <c r="A64" s="1637" t="s">
        <v>83</v>
      </c>
      <c r="B64" s="1637">
        <v>0</v>
      </c>
      <c r="C64" s="1637">
        <v>0</v>
      </c>
      <c r="D64" s="1637">
        <v>0</v>
      </c>
      <c r="E64" s="1637">
        <v>0</v>
      </c>
      <c r="F64" s="1637">
        <v>0</v>
      </c>
      <c r="G64" s="1637">
        <v>0</v>
      </c>
      <c r="H64" s="1637">
        <v>0</v>
      </c>
      <c r="I64" s="1637">
        <v>0</v>
      </c>
      <c r="J64" s="1637">
        <v>0</v>
      </c>
      <c r="K64" s="1637">
        <v>0</v>
      </c>
      <c r="L64" s="1945">
        <v>0</v>
      </c>
      <c r="M64" s="1971">
        <v>0</v>
      </c>
      <c r="N64" s="1971">
        <v>0</v>
      </c>
      <c r="O64" s="1971">
        <v>0</v>
      </c>
      <c r="P64" s="1368">
        <v>3</v>
      </c>
      <c r="Q64" s="1377">
        <v>3</v>
      </c>
      <c r="R64" s="350">
        <v>3</v>
      </c>
      <c r="S64" s="587">
        <v>12</v>
      </c>
      <c r="T64" s="1637">
        <v>31</v>
      </c>
      <c r="U64" s="1637">
        <v>0</v>
      </c>
      <c r="V64" s="1637">
        <v>0</v>
      </c>
      <c r="W64" s="1637">
        <v>0</v>
      </c>
      <c r="X64" s="1637">
        <v>0</v>
      </c>
      <c r="Y64" s="1637">
        <v>0</v>
      </c>
      <c r="Z64" s="1637">
        <v>0</v>
      </c>
      <c r="AA64" s="1637">
        <v>0</v>
      </c>
      <c r="AB64" s="1637">
        <v>27</v>
      </c>
      <c r="AC64" s="1637">
        <v>24</v>
      </c>
      <c r="AD64" s="1637">
        <v>21</v>
      </c>
      <c r="AE64" s="1637">
        <v>21</v>
      </c>
      <c r="AF64" s="1637">
        <v>11</v>
      </c>
      <c r="AG64" s="1637">
        <v>3</v>
      </c>
      <c r="AH64" s="1637">
        <v>11</v>
      </c>
      <c r="AI64" s="1637">
        <v>8</v>
      </c>
      <c r="AJ64" s="1637">
        <v>4</v>
      </c>
      <c r="AK64" s="1637">
        <v>115</v>
      </c>
      <c r="AL64" s="1642">
        <v>10</v>
      </c>
      <c r="AM64" s="1642">
        <v>10</v>
      </c>
      <c r="AN64" s="1642">
        <v>10</v>
      </c>
      <c r="AO64" s="1642">
        <v>10</v>
      </c>
      <c r="AP64" s="1642">
        <v>10</v>
      </c>
      <c r="AQ64" s="1637">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AF1519-4D88-1206-D003-BDF2F0D559B9}" mc:Ignorable="x14ac xr xr2 xr3">
  <sheetPr>
    <tabColor theme="6" tint="0.4"/>
  </sheetPr>
  <dimension ref="A1:BI839"/>
  <sheetViews>
    <sheetView showGridLines="0" zoomScale="90" workbookViewId="0">
      <pane xSplit="29" ySplit="45" topLeftCell="AS795" activePane="bottomRight" state="frozen"/>
      <selection pane="bottomLeft" activeCell="A46" sqref="A46"/>
      <selection pane="topRight" activeCell="AD1" sqref="AD1"/>
      <selection pane="bottomRight" activeCell="AV832" sqref="AV831:AV832"/>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47.42187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6.00390625" customWidth="1"/>
    <col min="51" max="51" style="1641" width="8.140625" customWidth="1"/>
    <col min="52" max="52" style="1641" width="15.8515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71">
        <f>INDEX(PT_DIFFERENTIATION_NUM_NTAR,MATCH(A2,PT_DIFFERENTIATION_NTAR_ID,0))</f>
      </c>
      <c r="T2" s="304" t="s">
        <v>125</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71">
        <f>INDEX(PT_DIFFERENTIATION_NUM_TER,MATCH(B3,PT_DIFFERENTIATION_TER_ID,0))</f>
      </c>
      <c r="T3" s="314" t="s">
        <v>413</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414</v>
      </c>
      <c r="BE3" s="506"/>
      <c r="BF3" s="506" t="str">
        <f>IF(T3="","",T3)</f>
        <v>Территория действия тарифа</v>
      </c>
      <c r="BG3" s="506"/>
      <c r="BH3" s="506"/>
      <c r="BI3" s="1161">
        <v>0</v>
      </c>
    </row>
    <row customHeight="1" ht="42" hidden="1">
      <c r="A4" s="1369"/>
      <c r="B4" s="1369"/>
      <c r="C4" s="1369"/>
      <c r="D4" s="1369"/>
      <c r="E4" s="2265"/>
      <c r="F4" s="2265"/>
      <c r="G4" s="2264">
        <v>1</v>
      </c>
      <c r="H4" s="1369"/>
      <c r="I4" s="1369"/>
      <c r="J4" s="1369"/>
      <c r="K4" s="1369"/>
      <c r="L4" s="1370"/>
      <c r="M4" s="1371"/>
      <c r="N4" s="1371"/>
      <c r="O4" s="1371"/>
      <c r="P4" s="1418"/>
      <c r="Q4" s="1417"/>
      <c r="R4" s="359"/>
      <c r="S4" s="1471">
        <f>INDEX(PT_DIFFERENTIATION_NUM_CS,MATCH(C4,PT_DIFFERENTIATION_CS_ID,0))</f>
      </c>
      <c r="T4" s="315" t="s">
        <v>494</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495</v>
      </c>
      <c r="BE4" s="506"/>
      <c r="BF4" s="506" t="str">
        <f>IF(T4="","",T4)</f>
        <v>Наименование централизованной системы холодного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418</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419</v>
      </c>
      <c r="M6" s="516"/>
      <c r="N6" s="516"/>
      <c r="O6" s="516"/>
      <c r="P6" s="2263">
        <v>1</v>
      </c>
      <c r="Q6" s="1468"/>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65" t="s">
        <v>62</v>
      </c>
      <c r="AB8" s="1740"/>
      <c r="AC8" s="1465" t="s">
        <v>62</v>
      </c>
      <c r="AD8" s="2191" t="s">
        <v>62</v>
      </c>
      <c r="AE8" s="2332"/>
      <c r="AF8" s="2211">
        <v>1</v>
      </c>
      <c r="AG8" s="2369"/>
      <c r="AH8" s="2113" t="s">
        <v>62</v>
      </c>
      <c r="AI8" s="2332"/>
      <c r="AJ8" s="2211">
        <v>1</v>
      </c>
      <c r="AK8" s="2333" t="s">
        <v>28</v>
      </c>
      <c r="AL8" s="2113" t="s">
        <v>62</v>
      </c>
      <c r="AM8" s="2198"/>
      <c r="AN8" s="2211">
        <v>1</v>
      </c>
      <c r="AO8" s="2363"/>
      <c r="AP8" s="2364" t="s">
        <v>62</v>
      </c>
      <c r="AQ8" s="317"/>
      <c r="AR8" s="1469">
        <v>1</v>
      </c>
      <c r="AS8" s="1472" t="s">
        <v>28</v>
      </c>
      <c r="AT8" s="757"/>
      <c r="AU8" s="1263"/>
      <c r="AV8" s="757"/>
      <c r="AW8" s="1263"/>
      <c r="AX8" s="1740"/>
      <c r="AY8" s="1465" t="s">
        <v>62</v>
      </c>
      <c r="AZ8" s="1740"/>
      <c r="BA8" s="1465" t="s">
        <v>62</v>
      </c>
      <c r="BB8" s="1354"/>
      <c r="BC8" s="2259" t="s">
        <v>514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515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516</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517</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518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481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68"/>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47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470"/>
      <c r="M17" s="1327"/>
      <c r="N17" s="1327"/>
      <c r="P17" s="1322"/>
      <c r="Q17" s="1323"/>
      <c r="R17" s="1322"/>
      <c r="S17" s="1328"/>
      <c r="T17" s="1331" t="s">
        <v>251</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252</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66" t="s">
        <v>62</v>
      </c>
      <c r="AZ20" s="1742"/>
      <c r="BA20" s="1466" t="s">
        <v>62</v>
      </c>
      <c r="BI20" s="1161">
        <v>0</v>
      </c>
    </row>
    <row customHeight="1" ht="14.25" hidden="1">
      <c r="BD21" s="502"/>
      <c r="BE21" s="502"/>
      <c r="BF21" s="502"/>
      <c r="BG21" s="502"/>
      <c r="BH21" s="502"/>
      <c r="BI21" s="1161">
        <v>0</v>
      </c>
    </row>
    <row customHeight="1" ht="14.25" hidden="1">
      <c r="O22" s="1373" t="s">
        <v>431</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432</v>
      </c>
      <c r="P24" s="1514"/>
      <c r="Q24" s="1516"/>
      <c r="R24" s="1516"/>
      <c r="AA24" s="1513" t="s">
        <v>434</v>
      </c>
      <c r="AC24" s="1513" t="s">
        <v>435</v>
      </c>
      <c r="AD24" s="1513" t="s">
        <v>482</v>
      </c>
      <c r="AH24" s="1513" t="s">
        <v>482</v>
      </c>
      <c r="AK24" s="1513" t="s">
        <v>519</v>
      </c>
      <c r="AL24" s="1513" t="s">
        <v>482</v>
      </c>
      <c r="AP24" s="1513" t="s">
        <v>482</v>
      </c>
      <c r="AY24" s="1513" t="s">
        <v>434</v>
      </c>
      <c r="BA24" s="1513" t="s">
        <v>435</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АО «ДГК» СП «Нерюнгринская ГРЭС»</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Государственный комитет по ценовой политике Республики Саха (Якутия)</v>
      </c>
      <c r="W31" s="2257"/>
      <c r="X31" s="2257"/>
      <c r="Y31" s="2257"/>
      <c r="Z31" s="2257"/>
      <c r="AA31" s="2257"/>
      <c r="AB31" s="2257"/>
      <c r="AC31" s="332"/>
      <c r="AD31" s="2257" t="str">
        <f>IF(TITLE_NAME_OR_PR_CHANGE="",IF(TITLE_NAME_OR_PR="","",TITLE_NAME_OR_PR),TITLE_NAME_OR_PR_CHANGE)</f>
        <v>Государственный комитет по ценовой политике Республики Саха (Якутия)</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c r="A32" s="1374"/>
      <c r="B32" s="1374"/>
      <c r="C32" s="1374"/>
      <c r="D32" s="1374"/>
      <c r="E32" s="1374"/>
      <c r="F32" s="1374"/>
      <c r="G32" s="1374"/>
      <c r="H32" s="1374"/>
      <c r="I32" s="1374"/>
      <c r="J32" s="1374"/>
      <c r="K32" s="1374"/>
      <c r="L32" s="1375"/>
      <c r="M32" s="1374"/>
      <c r="N32" s="1374"/>
      <c r="O32" s="1374"/>
      <c r="P32" s="1374"/>
      <c r="Q32" s="1374"/>
      <c r="S32" s="2256" t="s">
        <v>437</v>
      </c>
      <c r="T32" s="2256"/>
      <c r="U32" s="1378"/>
      <c r="V32" s="2270" t="str">
        <f>IF(TITLE_DATE_PR_CHANGE="",IF(TITLE_DATE_PR="","",TITLE_DATE_PR),TITLE_DATE_PR_CHANGE)</f>
        <v>46003.502546296295</v>
      </c>
      <c r="W32" s="2270"/>
      <c r="X32" s="2270"/>
      <c r="Y32" s="2270"/>
      <c r="Z32" s="2270"/>
      <c r="AA32" s="2270"/>
      <c r="AB32" s="2270"/>
      <c r="AC32" s="332"/>
      <c r="AD32" s="2270" t="str">
        <f>IF(TITLE_DATE_PR_CHANGE="",IF(TITLE_DATE_PR="","",TITLE_DATE_PR),TITLE_DATE_PR_CHANGE)</f>
        <v>46003.502546296295</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c r="A33" s="1374"/>
      <c r="B33" s="1374"/>
      <c r="C33" s="1374"/>
      <c r="D33" s="1374"/>
      <c r="E33" s="1374"/>
      <c r="F33" s="1374"/>
      <c r="G33" s="1374"/>
      <c r="H33" s="1374"/>
      <c r="I33" s="1374"/>
      <c r="J33" s="1374"/>
      <c r="K33" s="1374"/>
      <c r="L33" s="1375"/>
      <c r="M33" s="1374"/>
      <c r="N33" s="1374"/>
      <c r="O33" s="1374"/>
      <c r="P33" s="1374"/>
      <c r="Q33" s="1374"/>
      <c r="S33" s="2256" t="s">
        <v>438</v>
      </c>
      <c r="T33" s="2256"/>
      <c r="U33" s="1378"/>
      <c r="V33" s="2257" t="str">
        <f>IF(TITLE_NUMBER_PR_CHANGE="",IF(TITLE_NUMBER_PR="","",TITLE_NUMBER_PR),TITLE_NUMBER_PR_CHANGE)</f>
        <v>№ 222</v>
      </c>
      <c r="W33" s="2257"/>
      <c r="X33" s="2257"/>
      <c r="Y33" s="2257"/>
      <c r="Z33" s="2257"/>
      <c r="AA33" s="2257"/>
      <c r="AB33" s="2257"/>
      <c r="AC33" s="332"/>
      <c r="AD33" s="2257" t="str">
        <f>IF(TITLE_NUMBER_PR_CHANGE="",IF(TITLE_NUMBER_PR="","",TITLE_NUMBER_PR),TITLE_NUMBER_PR_CHANGE)</f>
        <v>№ 222</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c r="A34" s="1374"/>
      <c r="B34" s="1374"/>
      <c r="C34" s="1374"/>
      <c r="D34" s="1374"/>
      <c r="E34" s="1374"/>
      <c r="F34" s="1374"/>
      <c r="G34" s="1374"/>
      <c r="H34" s="1374"/>
      <c r="I34" s="1374"/>
      <c r="J34" s="1374"/>
      <c r="K34" s="1374"/>
      <c r="L34" s="1375"/>
      <c r="M34" s="1374"/>
      <c r="N34" s="1374"/>
      <c r="O34" s="1374"/>
      <c r="P34" s="1374"/>
      <c r="Q34" s="1374"/>
      <c r="S34" s="2256" t="s">
        <v>44</v>
      </c>
      <c r="T34" s="2256"/>
      <c r="U34" s="1378"/>
      <c r="V34" s="2257" t="str">
        <f>IF(TITLE_IST_PUB_CHANGE="",IF(TITLE_IST_PUB="","",TITLE_IST_PUB),TITLE_IST_PUB_CHANGE)</f>
        <v>Официальный интернет-портал правовой информации http://pravo.gov.ru/ </v>
      </c>
      <c r="W34" s="2257"/>
      <c r="X34" s="2257"/>
      <c r="Y34" s="2257"/>
      <c r="Z34" s="2257"/>
      <c r="AA34" s="2257"/>
      <c r="AB34" s="2257"/>
      <c r="AC34" s="332"/>
      <c r="AD34" s="2257" t="str">
        <f>IF(TITLE_IST_PUB_CHANGE="",IF(TITLE_IST_PUB="","",TITLE_IST_PUB),TITLE_IST_PUB_CHANGE)</f>
        <v>Официальный интернет-портал правовой информации http://pravo.gov.ru/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437</v>
      </c>
      <c r="T36" s="2256"/>
      <c r="U36" s="1378"/>
      <c r="V36" s="2270" t="str">
        <f>IF(TITLE_DATE_PR_CHANGE="",IF(TITLE_DATE_PR="","",TITLE_DATE_PR),TITLE_DATE_PR_CHANGE)</f>
        <v>46003.502546296295</v>
      </c>
      <c r="W36" s="2270"/>
      <c r="X36" s="2270"/>
      <c r="Y36" s="2270"/>
      <c r="Z36" s="2270"/>
      <c r="AA36" s="2270"/>
      <c r="AB36" s="2270"/>
      <c r="AC36" s="332"/>
      <c r="AD36" s="2270" t="str">
        <f>IF(TITLE_DATE_PR_CHANGE="",IF(TITLE_DATE_PR="","",TITLE_DATE_PR),TITLE_DATE_PR_CHANGE)</f>
        <v>46003.502546296295</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438</v>
      </c>
      <c r="T37" s="2256"/>
      <c r="U37" s="1378"/>
      <c r="V37" s="2257" t="str">
        <f>IF(TITLE_NUMBER_PR_CHANGE="",IF(TITLE_NUMBER_PR="","",TITLE_NUMBER_PR),TITLE_NUMBER_PR_CHANGE)</f>
        <v>№ 222</v>
      </c>
      <c r="W37" s="2257"/>
      <c r="X37" s="2257"/>
      <c r="Y37" s="2257"/>
      <c r="Z37" s="2257"/>
      <c r="AA37" s="2257"/>
      <c r="AB37" s="2257"/>
      <c r="AC37" s="332"/>
      <c r="AD37" s="2257" t="str">
        <f>IF(TITLE_NUMBER_PR_CHANGE="",IF(TITLE_NUMBER_PR="","",TITLE_NUMBER_PR),TITLE_NUMBER_PR_CHANGE)</f>
        <v>№ 222</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60"/>
      <c r="V38" s="332"/>
      <c r="W38" s="332"/>
      <c r="X38" s="332"/>
      <c r="Y38" s="332"/>
      <c r="Z38" s="332"/>
      <c r="AA38" s="332"/>
      <c r="AB38" s="332"/>
      <c r="AC38" s="284" t="s">
        <v>441</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441</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316</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317</v>
      </c>
      <c r="BI40" s="1161">
        <v>14</v>
      </c>
    </row>
    <row customHeight="1" ht="14.699999999999998">
      <c r="Q41" s="297"/>
      <c r="R41" s="382"/>
      <c r="S41" s="2279" t="s">
        <v>89</v>
      </c>
      <c r="T41" s="2215" t="s">
        <v>520</v>
      </c>
      <c r="U41" s="307"/>
      <c r="V41" s="2280" t="s">
        <v>443</v>
      </c>
      <c r="W41" s="2281"/>
      <c r="X41" s="2281"/>
      <c r="Y41" s="2281"/>
      <c r="Z41" s="2281"/>
      <c r="AA41" s="2281"/>
      <c r="AB41" s="2282"/>
      <c r="AC41" s="2283" t="s">
        <v>444</v>
      </c>
      <c r="AD41" s="2334" t="s">
        <v>521</v>
      </c>
      <c r="AE41" s="2297"/>
      <c r="AF41" s="2297"/>
      <c r="AG41" s="2335"/>
      <c r="AH41" s="2334" t="s">
        <v>522</v>
      </c>
      <c r="AI41" s="2297"/>
      <c r="AJ41" s="2297"/>
      <c r="AK41" s="2335"/>
      <c r="AL41" s="2334" t="s">
        <v>523</v>
      </c>
      <c r="AM41" s="2297"/>
      <c r="AN41" s="2297"/>
      <c r="AO41" s="2335"/>
      <c r="AP41" s="2334" t="s">
        <v>524</v>
      </c>
      <c r="AQ41" s="2297"/>
      <c r="AR41" s="2297"/>
      <c r="AS41" s="2335"/>
      <c r="AT41" s="2280" t="s">
        <v>443</v>
      </c>
      <c r="AU41" s="2281"/>
      <c r="AV41" s="2281"/>
      <c r="AW41" s="2281"/>
      <c r="AX41" s="2281"/>
      <c r="AY41" s="2281"/>
      <c r="AZ41" s="2282"/>
      <c r="BA41" s="2283" t="s">
        <v>444</v>
      </c>
      <c r="BB41" s="2286" t="s">
        <v>446</v>
      </c>
      <c r="BC41" s="2133"/>
      <c r="BI41" s="1161">
        <v>14</v>
      </c>
    </row>
    <row customHeight="1" ht="35.699999999999996">
      <c r="Q42" s="297"/>
      <c r="R42" s="382"/>
      <c r="S42" s="2279"/>
      <c r="T42" s="2215"/>
      <c r="U42" s="1037"/>
      <c r="V42" s="2198" t="s">
        <v>525</v>
      </c>
      <c r="W42" s="2199"/>
      <c r="X42" s="2198" t="s">
        <v>526</v>
      </c>
      <c r="Y42" s="2199"/>
      <c r="Z42" s="2300" t="s">
        <v>527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525</v>
      </c>
      <c r="AU42" s="2199"/>
      <c r="AV42" s="2198" t="s">
        <v>526</v>
      </c>
      <c r="AW42" s="2199"/>
      <c r="AX42" s="2300" t="s">
        <v>527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137</v>
      </c>
      <c r="C44" s="1376" t="s">
        <v>138</v>
      </c>
      <c r="D44" s="1376" t="s">
        <v>139</v>
      </c>
      <c r="E44" s="1370" t="s">
        <v>451</v>
      </c>
      <c r="F44" s="1370" t="s">
        <v>452</v>
      </c>
      <c r="G44" s="1370" t="s">
        <v>453</v>
      </c>
      <c r="H44" s="1370" t="s">
        <v>454</v>
      </c>
      <c r="I44" s="1370" t="s">
        <v>455</v>
      </c>
      <c r="J44" s="1370" t="s">
        <v>456</v>
      </c>
      <c r="K44" s="1370" t="s">
        <v>457</v>
      </c>
      <c r="L44" s="1370" t="s">
        <v>432</v>
      </c>
      <c r="Q44" s="297"/>
      <c r="R44" s="382"/>
      <c r="S44" s="2279"/>
      <c r="T44" s="2215"/>
      <c r="U44" s="308"/>
      <c r="V44" s="1454" t="s">
        <v>491</v>
      </c>
      <c r="W44" s="1454" t="s">
        <v>492</v>
      </c>
      <c r="X44" s="1454" t="s">
        <v>491</v>
      </c>
      <c r="Y44" s="1454" t="s">
        <v>492</v>
      </c>
      <c r="Z44" s="1461" t="s">
        <v>460</v>
      </c>
      <c r="AA44" s="2276" t="s">
        <v>461</v>
      </c>
      <c r="AB44" s="2277"/>
      <c r="AC44" s="2285"/>
      <c r="AD44" s="2339"/>
      <c r="AE44" s="2340"/>
      <c r="AF44" s="2340"/>
      <c r="AG44" s="2341"/>
      <c r="AH44" s="2339"/>
      <c r="AI44" s="2340"/>
      <c r="AJ44" s="2340"/>
      <c r="AK44" s="2341"/>
      <c r="AL44" s="2339"/>
      <c r="AM44" s="2340"/>
      <c r="AN44" s="2340"/>
      <c r="AO44" s="2341"/>
      <c r="AP44" s="2339"/>
      <c r="AQ44" s="2340"/>
      <c r="AR44" s="2340"/>
      <c r="AS44" s="2341"/>
      <c r="AT44" s="1454" t="s">
        <v>491</v>
      </c>
      <c r="AU44" s="1454" t="s">
        <v>492</v>
      </c>
      <c r="AV44" s="1454" t="s">
        <v>491</v>
      </c>
      <c r="AW44" s="1454" t="s">
        <v>492</v>
      </c>
      <c r="AX44" s="1461" t="s">
        <v>460</v>
      </c>
      <c r="AY44" s="2276" t="s">
        <v>461</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111</v>
      </c>
      <c r="T45" s="1261" t="s">
        <v>112</v>
      </c>
      <c r="U45" s="1251" t="str">
        <f>OFFSET(U45,0,-1)</f>
        <v>2</v>
      </c>
      <c r="V45" s="1457">
        <f>OFFSET(V45,0,-1)+1</f>
        <v>3</v>
      </c>
      <c r="W45" s="1457">
        <f>OFFSET(W45,0,-1)+1</f>
        <v>4</v>
      </c>
      <c r="X45" s="1457">
        <f>OFFSET(X45,0,-1)+1</f>
        <v>5</v>
      </c>
      <c r="Y45" s="1457">
        <f>OFFSET(Y45,0,-1)+1</f>
        <v>6</v>
      </c>
      <c r="Z45" s="1457">
        <f>OFFSET(Z45,0,-1)+1</f>
        <v>7</v>
      </c>
      <c r="AA45" s="2278">
        <f>OFFSET(AA45,0,-1)+1</f>
        <v>8</v>
      </c>
      <c r="AB45" s="2278"/>
      <c r="AC45" s="1457">
        <f>OFFSET(AC45,0,-2)+1</f>
        <v>9</v>
      </c>
      <c r="AD45" s="1457">
        <f>OFFSET(AD45,0,-1)+1</f>
        <v>10</v>
      </c>
      <c r="AE45" s="1457"/>
      <c r="AF45" s="1457"/>
      <c r="AG45" s="1457"/>
      <c r="AH45" s="1457"/>
      <c r="AI45" s="1457"/>
      <c r="AJ45" s="1457"/>
      <c r="AK45" s="1457"/>
      <c r="AL45" s="1457"/>
      <c r="AM45" s="1457"/>
      <c r="AN45" s="1457"/>
      <c r="AO45" s="1457"/>
      <c r="AP45" s="1457"/>
      <c r="AQ45" s="1457"/>
      <c r="AR45" s="1457"/>
      <c r="AS45" s="1457"/>
      <c r="AT45" s="1457"/>
      <c r="AU45" s="1457"/>
      <c r="AV45" s="1457"/>
      <c r="AW45" s="1457">
        <f>OFFSET(AW45,0,-1)+1</f>
        <v>1</v>
      </c>
      <c r="AX45" s="1457">
        <f>OFFSET(AX45,0,-1)+1</f>
        <v>2</v>
      </c>
      <c r="AY45" s="2278">
        <f>OFFSET(AY45,0,-1)+1</f>
        <v>3</v>
      </c>
      <c r="AZ45" s="2278"/>
      <c r="BA45" s="1457">
        <f>OFFSET(BA45,0,-2)+1</f>
        <v>4</v>
      </c>
      <c r="BB45" s="1251">
        <f>OFFSET(BB45,0,-1)</f>
        <v>4</v>
      </c>
      <c r="BC45" s="1457">
        <f>OFFSET(BC45,0,-1)+1</f>
        <v>5</v>
      </c>
      <c r="BD45" s="517"/>
      <c r="BE45" s="517"/>
      <c r="BF45" s="517"/>
      <c r="BG45" s="517"/>
      <c r="BH45" s="517"/>
      <c r="BI45" s="502">
        <v>0</v>
      </c>
    </row>
    <row customHeight="1" ht="22.049999999999997">
      <c r="A46" s="1369" t="s">
        <v>248</v>
      </c>
      <c r="B46" s="1369"/>
      <c r="C46" s="1369"/>
      <c r="D46" s="1369"/>
      <c r="E46" s="2264">
        <v>1</v>
      </c>
      <c r="F46" s="1369"/>
      <c r="G46" s="1369"/>
      <c r="H46" s="1369"/>
      <c r="I46" s="1369"/>
      <c r="J46" s="1369"/>
      <c r="K46" s="1369"/>
      <c r="L46" s="1370"/>
      <c r="M46" s="1371"/>
      <c r="N46" s="1371"/>
      <c r="O46" s="1371"/>
      <c r="P46" s="1415"/>
      <c r="Q46" s="879"/>
      <c r="R46" s="361"/>
      <c r="S46" s="1463">
        <f>INDEX(PT_DIFFERENTIATION_NUM_NTAR,MATCH(A46,PT_DIFFERENTIATION_NTAR_ID,0))</f>
        <v>1</v>
      </c>
      <c r="T46" s="304" t="s">
        <v>125</v>
      </c>
      <c r="U46" s="306"/>
      <c r="V46" s="2249"/>
      <c r="W46" s="2249"/>
      <c r="X46" s="2249"/>
      <c r="Y46" s="2249"/>
      <c r="Z46" s="2249"/>
      <c r="AA46" s="2249"/>
      <c r="AB46" s="2249"/>
      <c r="AC46" s="2250"/>
      <c r="AD46" s="2248" t="str">
        <f>INDEX(PT_DIFFERENTIATION_NTAR,MATCH(A46,PT_DIFFERENTIATION_NTAR_ID,0))</f>
        <v>Ставка тарифа на подключаемую нагрузку к централизованной системе холодного водоснабжения АО "ДГК" СП "Нерюнгринская ГРЭС" на 2026 год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248</v>
      </c>
      <c r="B47" s="1369" t="s">
        <v>249</v>
      </c>
      <c r="C47" s="1369"/>
      <c r="D47" s="1369"/>
      <c r="E47" s="2265"/>
      <c r="F47" s="2264">
        <v>1</v>
      </c>
      <c r="G47" s="1369"/>
      <c r="H47" s="1369"/>
      <c r="I47" s="1369"/>
      <c r="J47" s="1369"/>
      <c r="K47" s="1369"/>
      <c r="L47" s="1370"/>
      <c r="M47" s="1371"/>
      <c r="N47" s="1371"/>
      <c r="O47" s="1371"/>
      <c r="P47" s="1416"/>
      <c r="Q47" s="1417"/>
      <c r="R47" s="359"/>
      <c r="S47" s="1463" t="str">
        <f>INDEX(PT_DIFFERENTIATION_NUM_TER,MATCH(B47,PT_DIFFERENTIATION_TER_ID,0))</f>
        <v>1.1</v>
      </c>
      <c r="T47" s="314" t="s">
        <v>413</v>
      </c>
      <c r="U47" s="306"/>
      <c r="V47" s="2249"/>
      <c r="W47" s="2249"/>
      <c r="X47" s="2249"/>
      <c r="Y47" s="2249"/>
      <c r="Z47" s="2249"/>
      <c r="AA47" s="2249"/>
      <c r="AB47" s="2249"/>
      <c r="AC47" s="2250"/>
      <c r="AD47" s="2248" t="str">
        <f>INDEX(PT_DIFFERENTIATION_TER,MATCH(B47,PT_DIFFERENTIATION_TER_ID,0))</f>
        <v>без дифференциации</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414</v>
      </c>
      <c r="BE47" s="506"/>
      <c r="BF47" s="506" t="str">
        <f>IF(T47="","",T47)</f>
        <v>Территория действия тарифа</v>
      </c>
      <c r="BG47" s="506"/>
      <c r="BH47" s="506"/>
      <c r="BI47" s="1161">
        <v>21</v>
      </c>
    </row>
    <row customHeight="1" ht="43.050000000000004">
      <c r="A48" s="1369" t="s">
        <v>248</v>
      </c>
      <c r="B48" s="1369" t="s">
        <v>249</v>
      </c>
      <c r="C48" s="1369" t="s">
        <v>250</v>
      </c>
      <c r="D48" s="1369"/>
      <c r="E48" s="2265"/>
      <c r="F48" s="2265"/>
      <c r="G48" s="2264">
        <v>1</v>
      </c>
      <c r="H48" s="1369"/>
      <c r="I48" s="1369"/>
      <c r="J48" s="1369"/>
      <c r="K48" s="1369"/>
      <c r="L48" s="1370"/>
      <c r="M48" s="1371"/>
      <c r="N48" s="1371"/>
      <c r="O48" s="1371"/>
      <c r="P48" s="1418"/>
      <c r="Q48" s="1417"/>
      <c r="R48" s="359"/>
      <c r="S48" s="1463" t="str">
        <f>INDEX(PT_DIFFERENTIATION_NUM_CS,MATCH(C48,PT_DIFFERENTIATION_CS_ID,0))</f>
        <v>1.1.1</v>
      </c>
      <c r="T48" s="315" t="s">
        <v>494</v>
      </c>
      <c r="U48" s="306"/>
      <c r="V48" s="2249"/>
      <c r="W48" s="2249"/>
      <c r="X48" s="2249"/>
      <c r="Y48" s="2249"/>
      <c r="Z48" s="2249"/>
      <c r="AA48" s="2249"/>
      <c r="AB48" s="2249"/>
      <c r="AC48" s="2250"/>
      <c r="AD48" s="2248" t="str">
        <f>INDEX(PT_DIFFERENTIATION_CS,MATCH(C48,PT_DIFFERENTIATION_CS_ID,0))</f>
        <v>без дифференциации</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495</v>
      </c>
      <c r="BE48" s="506"/>
      <c r="BF48" s="506" t="str">
        <f>IF(T48="","",T48)</f>
        <v>Наименование централизованной системы холодного водоснабжения</v>
      </c>
      <c r="BG48" s="506"/>
      <c r="BH48" s="506"/>
      <c r="BI48" s="1161">
        <v>41</v>
      </c>
    </row>
    <row s="1648" customFormat="1" customHeight="1" ht="0">
      <c r="A49" s="1349" t="s">
        <v>248</v>
      </c>
      <c r="B49" s="1349" t="s">
        <v>249</v>
      </c>
      <c r="C49" s="1349" t="s">
        <v>250</v>
      </c>
      <c r="D49" s="1349" t="s">
        <v>528</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418</v>
      </c>
      <c r="BE49" s="506"/>
      <c r="BF49" s="506" t="str">
        <f>IF(T49="","",T49)</f>
        <v/>
      </c>
      <c r="BG49" s="506"/>
      <c r="BH49" s="506"/>
      <c r="BI49" s="517">
        <v>0</v>
      </c>
    </row>
    <row s="1648" customFormat="1" customHeight="1" ht="0">
      <c r="A50" s="1349" t="s">
        <v>248</v>
      </c>
      <c r="B50" s="1349" t="s">
        <v>249</v>
      </c>
      <c r="C50" s="1349" t="s">
        <v>250</v>
      </c>
      <c r="D50" s="1349" t="s">
        <v>528</v>
      </c>
      <c r="E50" s="2265"/>
      <c r="F50" s="2265"/>
      <c r="G50" s="2265"/>
      <c r="H50" s="2265"/>
      <c r="I50" s="2262" t="str">
        <f>S49&amp;".1"</f>
        <v>.1</v>
      </c>
      <c r="J50" s="1349"/>
      <c r="K50" s="1349"/>
      <c r="L50" s="1352" t="s">
        <v>419</v>
      </c>
      <c r="M50" s="516"/>
      <c r="N50" s="516"/>
      <c r="O50" s="516"/>
      <c r="P50" s="2263">
        <v>1</v>
      </c>
      <c r="Q50" s="1468"/>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248</v>
      </c>
      <c r="B51" s="1349" t="s">
        <v>249</v>
      </c>
      <c r="C51" s="1349" t="s">
        <v>250</v>
      </c>
      <c r="D51" s="1349" t="s">
        <v>528</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248</v>
      </c>
      <c r="B52" s="1369" t="s">
        <v>249</v>
      </c>
      <c r="C52" s="1369" t="s">
        <v>250</v>
      </c>
      <c r="D52" s="1369" t="s">
        <v>528</v>
      </c>
      <c r="E52" s="2265"/>
      <c r="F52" s="2265"/>
      <c r="G52" s="2265"/>
      <c r="H52" s="2265"/>
      <c r="I52" s="2292"/>
      <c r="J52" s="2292"/>
      <c r="K52" s="2262" t="str">
        <f>S48&amp;".1"</f>
        <v>1.1.1.1</v>
      </c>
      <c r="L52" s="1370"/>
      <c r="P52" s="2263"/>
      <c r="Q52" s="2263"/>
      <c r="R52" s="363">
        <v>1</v>
      </c>
      <c r="S52" s="2347" t="str">
        <f>$K52</f>
        <v>1.1.1.1</v>
      </c>
      <c r="T52" s="2366" t="s">
        <v>529</v>
      </c>
      <c r="U52" s="306"/>
      <c r="V52" s="757"/>
      <c r="W52" s="1263"/>
      <c r="X52" s="757"/>
      <c r="Y52" s="1263"/>
      <c r="Z52" s="1740"/>
      <c r="AA52" s="1465" t="s">
        <v>62</v>
      </c>
      <c r="AB52" s="1740"/>
      <c r="AC52" s="1465" t="s">
        <v>62</v>
      </c>
      <c r="AD52" s="2191" t="s">
        <v>19</v>
      </c>
      <c r="AE52" s="2332"/>
      <c r="AF52" s="2211">
        <v>1</v>
      </c>
      <c r="AG52" s="7656" t="s">
        <v>28</v>
      </c>
      <c r="AH52" s="2113" t="s">
        <v>19</v>
      </c>
      <c r="AI52" s="2332"/>
      <c r="AJ52" s="2211">
        <v>1</v>
      </c>
      <c r="AK52" s="2679" t="s">
        <v>28</v>
      </c>
      <c r="AL52" s="2113" t="s">
        <v>19</v>
      </c>
      <c r="AM52" s="2198"/>
      <c r="AN52" s="2211">
        <v>1</v>
      </c>
      <c r="AO52" s="2680" t="s">
        <v>28</v>
      </c>
      <c r="AP52" s="2364" t="s">
        <v>62</v>
      </c>
      <c r="AQ52" s="317"/>
      <c r="AR52" s="1469">
        <v>1</v>
      </c>
      <c r="AS52" s="7652" t="s">
        <v>530</v>
      </c>
      <c r="AT52" s="757"/>
      <c r="AU52" s="1263">
        <v>0.33</v>
      </c>
      <c r="AV52" s="757">
        <v>0</v>
      </c>
      <c r="AW52" s="1263">
        <v>0</v>
      </c>
      <c r="AX52" s="2608">
        <v>46023.51190972222</v>
      </c>
      <c r="AY52" s="1465" t="s">
        <v>62</v>
      </c>
      <c r="AZ52" s="2608">
        <v>46387.51199074074</v>
      </c>
      <c r="BA52" s="1465" t="s">
        <v>62</v>
      </c>
      <c r="BB52" s="1354"/>
      <c r="BC52" s="2259" t="s">
        <v>514</v>
      </c>
      <c r="BE52" s="506"/>
      <c r="BF52" s="506" t="str">
        <f>IF(T52="","",T52)</f>
        <v>Ставка тарифа на подключаемую нагрузку к централизованной системе холодного водоснабжения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7656" t="s">
        <v>28</v>
      </c>
      <c r="AH53" s="2113"/>
      <c r="AI53" s="2332"/>
      <c r="AJ53" s="2211"/>
      <c r="AK53" s="2679" t="s">
        <v>28</v>
      </c>
      <c r="AL53" s="2113"/>
      <c r="AM53" s="2206"/>
      <c r="AN53" s="2211"/>
      <c r="AO53" s="2680" t="s">
        <v>28</v>
      </c>
      <c r="AP53" s="2365"/>
      <c r="AQ53" s="322"/>
      <c r="AR53" s="422"/>
      <c r="AS53" s="422" t="s">
        <v>515</v>
      </c>
      <c r="AT53" s="1399"/>
      <c r="AU53" s="1502"/>
      <c r="AV53" s="1399"/>
      <c r="AW53" s="1502"/>
      <c r="AX53" s="1399"/>
      <c r="AY53" s="1399"/>
      <c r="AZ53" s="1399"/>
      <c r="BA53" s="1399"/>
      <c r="BB53" s="1403"/>
      <c r="BC53" s="2260"/>
      <c r="BE53" s="506"/>
      <c r="BF53" s="506"/>
      <c r="BG53" s="506"/>
      <c r="BH53" s="506"/>
      <c r="BI53" s="1161">
        <v>11</v>
      </c>
    </row>
    <row customHeight="1" ht="11.549999999999999">
      <c r="A54" s="1369" t="s">
        <v>248</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7656" t="s">
        <v>28</v>
      </c>
      <c r="AH54" s="2113"/>
      <c r="AI54" s="2332"/>
      <c r="AJ54" s="2211"/>
      <c r="AK54" s="2679" t="s">
        <v>28</v>
      </c>
      <c r="AL54" s="2113"/>
      <c r="AM54" s="322"/>
      <c r="AN54" s="1506"/>
      <c r="AO54" s="1506" t="s">
        <v>516</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248</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7656" t="s">
        <v>28</v>
      </c>
      <c r="AH55" s="2113"/>
      <c r="AI55" s="300"/>
      <c r="AJ55" s="421"/>
      <c r="AK55" s="319" t="s">
        <v>517</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248</v>
      </c>
      <c r="B56" s="1369" t="s">
        <v>249</v>
      </c>
      <c r="C56" s="1369" t="s">
        <v>250</v>
      </c>
      <c r="D56" s="1369" t="s">
        <v>528</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-нет</v>
      </c>
      <c r="Z56" s="1399"/>
      <c r="AA56" s="1399"/>
      <c r="AB56" s="1399"/>
      <c r="AC56" s="1399"/>
      <c r="AD56" s="2118"/>
      <c r="AE56" s="318"/>
      <c r="AF56" s="320"/>
      <c r="AG56" s="422" t="s">
        <v>518</v>
      </c>
      <c r="AH56" s="1399"/>
      <c r="AI56" s="1399"/>
      <c r="AJ56" s="1399"/>
      <c r="AK56" s="1399"/>
      <c r="AL56" s="1399"/>
      <c r="AM56" s="1399"/>
      <c r="AN56" s="1399"/>
      <c r="AO56" s="1399"/>
      <c r="AP56" s="1399"/>
      <c r="AQ56" s="1399"/>
      <c r="AR56" s="1399"/>
      <c r="AS56" s="1399"/>
      <c r="AT56" s="1399"/>
      <c r="AU56" s="1400" t="str">
        <f>AX52&amp;"-"&amp;AZ52</f>
        <v>46023.51190972222-46387.51199074074</v>
      </c>
      <c r="AV56" s="1399"/>
      <c r="AW56" s="1400" t="str">
        <f>AZ52&amp;"-"&amp;BB52</f>
        <v>46387.51199074074-</v>
      </c>
      <c r="AX56" s="1399"/>
      <c r="AY56" s="1399"/>
      <c r="AZ56" s="1399"/>
      <c r="BA56" s="1399"/>
      <c r="BB56" s="1402" t="str">
        <f>BE52&amp;"-"&amp;BG52</f>
        <v>-</v>
      </c>
      <c r="BC56" s="2260"/>
      <c r="BE56" s="506"/>
      <c r="BF56" s="506" t="str">
        <f>IF(T56="","",T56)</f>
        <v/>
      </c>
      <c r="BG56" s="506"/>
      <c r="BH56" s="506"/>
      <c r="BI56" s="1161">
        <v>11</v>
      </c>
    </row>
    <row customHeight="1" ht="11.549999999999999">
      <c r="A57" s="1369" t="s">
        <v>248</v>
      </c>
      <c r="B57" s="1369" t="s">
        <v>249</v>
      </c>
      <c r="C57" s="1369" t="s">
        <v>250</v>
      </c>
      <c r="D57" s="1369" t="s">
        <v>528</v>
      </c>
      <c r="E57" s="2265"/>
      <c r="F57" s="2265"/>
      <c r="G57" s="2265"/>
      <c r="H57" s="2265"/>
      <c r="I57" s="2292"/>
      <c r="J57" s="2262"/>
      <c r="K57" s="1369"/>
      <c r="L57" s="1370"/>
      <c r="P57" s="2263"/>
      <c r="Q57" s="2263"/>
      <c r="R57" s="362"/>
      <c r="S57" s="1284"/>
      <c r="T57" s="293" t="s">
        <v>481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248</v>
      </c>
      <c r="B58" s="1349" t="s">
        <v>249</v>
      </c>
      <c r="C58" s="1349" t="s">
        <v>250</v>
      </c>
      <c r="D58" s="1349" t="s">
        <v>528</v>
      </c>
      <c r="E58" s="2265"/>
      <c r="F58" s="2265"/>
      <c r="G58" s="2265"/>
      <c r="H58" s="2265"/>
      <c r="I58" s="2262"/>
      <c r="J58" s="1349"/>
      <c r="K58" s="1349"/>
      <c r="L58" s="1352"/>
      <c r="M58" s="516"/>
      <c r="N58" s="516"/>
      <c r="O58" s="516"/>
      <c r="P58" s="2263"/>
      <c r="Q58" s="1468"/>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248</v>
      </c>
      <c r="B59" s="1349" t="s">
        <v>249</v>
      </c>
      <c r="C59" s="1349" t="s">
        <v>250</v>
      </c>
      <c r="D59" s="1349" t="s">
        <v>528</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248</v>
      </c>
      <c r="B60" s="1349" t="s">
        <v>249</v>
      </c>
      <c r="C60" s="1349" t="s">
        <v>250</v>
      </c>
      <c r="D60" s="1320"/>
      <c r="E60" s="2265"/>
      <c r="F60" s="2265"/>
      <c r="G60" s="2264"/>
      <c r="H60" s="1320"/>
      <c r="I60" s="1320"/>
      <c r="J60" s="1320"/>
      <c r="K60" s="1320"/>
      <c r="L60" s="147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248</v>
      </c>
      <c r="B61" s="1349" t="s">
        <v>249</v>
      </c>
      <c r="C61" s="1320"/>
      <c r="D61" s="1320"/>
      <c r="E61" s="2265"/>
      <c r="F61" s="2264"/>
      <c r="G61" s="1320"/>
      <c r="H61" s="1320"/>
      <c r="I61" s="1320"/>
      <c r="J61" s="1320"/>
      <c r="K61" s="1320"/>
      <c r="L61" s="1470"/>
      <c r="M61" s="1327"/>
      <c r="N61" s="1327"/>
      <c r="P61" s="1322"/>
      <c r="Q61" s="1323"/>
      <c r="R61" s="1322"/>
      <c r="S61" s="1328"/>
      <c r="T61" s="1331" t="s">
        <v>251</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248</v>
      </c>
      <c r="B62" s="1349"/>
      <c r="C62" s="1349"/>
      <c r="D62" s="1349"/>
      <c r="E62" s="2264"/>
      <c r="F62" s="1349"/>
      <c r="G62" s="1349"/>
      <c r="H62" s="1349"/>
      <c r="I62" s="1349"/>
      <c r="J62" s="1349"/>
      <c r="K62" s="1349"/>
      <c r="L62" s="1352"/>
      <c r="M62" s="1327"/>
      <c r="N62" s="1327"/>
      <c r="O62" s="524"/>
      <c r="P62" s="386"/>
      <c r="Q62" s="1350"/>
      <c r="R62" s="386"/>
      <c r="S62" s="1328"/>
      <c r="T62" s="1331" t="s">
        <v>252</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856" customFormat="1" customHeight="1" ht="21">
      <c r="A63" s="1369" t="s">
        <v>255</v>
      </c>
      <c r="B63" s="1369"/>
      <c r="C63" s="1369"/>
      <c r="D63" s="1369"/>
      <c r="E63" s="2264" t="s">
        <v>112</v>
      </c>
      <c r="F63" s="1369"/>
      <c r="G63" s="1369"/>
      <c r="H63" s="1369"/>
      <c r="I63" s="1369"/>
      <c r="J63" s="1369"/>
      <c r="K63" s="1369"/>
      <c r="L63" s="1375"/>
      <c r="M63" s="1371"/>
      <c r="N63" s="1371"/>
      <c r="O63" s="1371"/>
      <c r="P63" s="1782"/>
      <c r="Q63" s="1689"/>
      <c r="R63" s="361"/>
      <c r="S63" s="2279" t="str">
        <f>INDEX(PT_DIFFERENTIATION_NUM_NTAR,MATCH(A63,PT_DIFFERENTIATION_NTAR_ID,0))</f>
        <v>2</v>
      </c>
      <c r="T63" s="1531" t="s">
        <v>125</v>
      </c>
      <c r="U63" s="306"/>
      <c r="V63" s="2249"/>
      <c r="W63" s="2249"/>
      <c r="X63" s="2249"/>
      <c r="Y63" s="2249"/>
      <c r="Z63" s="2249"/>
      <c r="AA63" s="2249"/>
      <c r="AB63" s="2249"/>
      <c r="AC63" s="2250"/>
      <c r="AD63" s="2248" t="str">
        <f>INDEX(PT_DIFFERENTIATION_NTAR,MATCH(A63,PT_DIFFERENTIATION_NTAR_ID,0))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(без учета расходов на благоустройство)</v>
      </c>
      <c r="AE63" s="2249"/>
      <c r="AF63" s="2249"/>
      <c r="AG63" s="2249"/>
      <c r="AH63" s="2249"/>
      <c r="AI63" s="2249"/>
      <c r="AJ63" s="2249"/>
      <c r="AK63" s="2249"/>
      <c r="AL63" s="2249"/>
      <c r="AM63" s="2249"/>
      <c r="AN63" s="2249"/>
      <c r="AO63" s="2249"/>
      <c r="AP63" s="2249"/>
      <c r="AQ63" s="2249"/>
      <c r="AR63" s="2249"/>
      <c r="AS63" s="2249"/>
      <c r="AT63" s="2249"/>
      <c r="AU63" s="2249"/>
      <c r="AV63" s="2249"/>
      <c r="AW63" s="2249"/>
      <c r="AX63" s="2249"/>
      <c r="AY63" s="2249"/>
      <c r="AZ63" s="2249"/>
      <c r="BA63" s="2249"/>
      <c r="BB63" s="2250"/>
      <c r="BC63"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63" s="1648"/>
      <c r="BE63" s="1630"/>
      <c r="BF63" s="1630" t="str">
        <f>IF(T63="","",T63)</f>
        <v>Наименование тарифа</v>
      </c>
      <c r="BG63" s="1630"/>
      <c r="BH63" s="1630"/>
      <c r="BI63" s="1641">
        <v>0</v>
      </c>
    </row>
    <row s="1856" customFormat="1" customHeight="1" ht="21">
      <c r="A64" s="1369"/>
      <c r="B64" s="1369" t="s">
        <v>256</v>
      </c>
      <c r="C64" s="1369"/>
      <c r="D64" s="1369"/>
      <c r="E64" s="2265">
        <v>1</v>
      </c>
      <c r="F64" s="2264">
        <v>1</v>
      </c>
      <c r="G64" s="1369"/>
      <c r="H64" s="1369"/>
      <c r="I64" s="1369"/>
      <c r="J64" s="1369"/>
      <c r="K64" s="1369"/>
      <c r="L64" s="1375"/>
      <c r="M64" s="1371"/>
      <c r="N64" s="1371"/>
      <c r="O64" s="1371"/>
      <c r="P64" s="2613"/>
      <c r="Q64" s="1417"/>
      <c r="R64" s="359"/>
      <c r="S64" s="2279" t="str">
        <f>INDEX(PT_DIFFERENTIATION_NUM_TER,MATCH(B64,PT_DIFFERENTIATION_TER_ID,0))</f>
        <v>2.1</v>
      </c>
      <c r="T64" s="1528" t="s">
        <v>413</v>
      </c>
      <c r="U64" s="306"/>
      <c r="V64" s="2249"/>
      <c r="W64" s="2249"/>
      <c r="X64" s="2249"/>
      <c r="Y64" s="2249"/>
      <c r="Z64" s="2249"/>
      <c r="AA64" s="2249"/>
      <c r="AB64" s="2249"/>
      <c r="AC64" s="2250"/>
      <c r="AD64" s="2248" t="str">
        <f>INDEX(PT_DIFFERENTIATION_TER,MATCH(B64,PT_DIFFERENTIATION_TER_ID,0))</f>
        <v>без дифференциации</v>
      </c>
      <c r="AE64" s="2249"/>
      <c r="AF64" s="2249"/>
      <c r="AG64" s="2249"/>
      <c r="AH64" s="2249"/>
      <c r="AI64" s="2249"/>
      <c r="AJ64" s="2249"/>
      <c r="AK64" s="2249"/>
      <c r="AL64" s="2249"/>
      <c r="AM64" s="2249"/>
      <c r="AN64" s="2249"/>
      <c r="AO64" s="2249"/>
      <c r="AP64" s="2249"/>
      <c r="AQ64" s="2249"/>
      <c r="AR64" s="2249"/>
      <c r="AS64" s="2249"/>
      <c r="AT64" s="2249"/>
      <c r="AU64" s="2249"/>
      <c r="AV64" s="2249"/>
      <c r="AW64" s="2249"/>
      <c r="AX64" s="2249"/>
      <c r="AY64" s="2249"/>
      <c r="AZ64" s="2249"/>
      <c r="BA64" s="2249"/>
      <c r="BB64" s="2250"/>
      <c r="BC64" s="1264" t="s">
        <v>414</v>
      </c>
      <c r="BD64" s="1648"/>
      <c r="BE64" s="1630"/>
      <c r="BF64" s="1630" t="str">
        <f>IF(T64="","",T64)</f>
        <v>Территория действия тарифа</v>
      </c>
      <c r="BG64" s="1630"/>
      <c r="BH64" s="1630"/>
      <c r="BI64" s="1641">
        <v>0</v>
      </c>
    </row>
    <row s="1856" customFormat="1" customHeight="1" ht="42">
      <c r="A65" s="1369"/>
      <c r="B65" s="1369"/>
      <c r="C65" s="1369" t="s">
        <v>257</v>
      </c>
      <c r="D65" s="1369"/>
      <c r="E65" s="2265">
        <v>1</v>
      </c>
      <c r="F65" s="2265"/>
      <c r="G65" s="2264">
        <v>1</v>
      </c>
      <c r="H65" s="1369"/>
      <c r="I65" s="1369"/>
      <c r="J65" s="1369"/>
      <c r="K65" s="1369"/>
      <c r="L65" s="1375"/>
      <c r="M65" s="1371"/>
      <c r="N65" s="1371"/>
      <c r="O65" s="1371"/>
      <c r="P65" s="1418"/>
      <c r="Q65" s="1417"/>
      <c r="R65" s="359"/>
      <c r="S65" s="2279" t="str">
        <f>INDEX(PT_DIFFERENTIATION_NUM_CS,MATCH(C65,PT_DIFFERENTIATION_CS_ID,0))</f>
        <v>2.1.1</v>
      </c>
      <c r="T65" s="315" t="s">
        <v>494</v>
      </c>
      <c r="U65" s="306"/>
      <c r="V65" s="2249"/>
      <c r="W65" s="2249"/>
      <c r="X65" s="2249"/>
      <c r="Y65" s="2249"/>
      <c r="Z65" s="2249"/>
      <c r="AA65" s="2249"/>
      <c r="AB65" s="2249"/>
      <c r="AC65" s="2250"/>
      <c r="AD65" s="2248" t="str">
        <f>INDEX(PT_DIFFERENTIATION_CS,MATCH(C65,PT_DIFFERENTIATION_CS_ID,0))</f>
        <v>без дифференциации</v>
      </c>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50"/>
      <c r="BC65" s="1264" t="s">
        <v>495</v>
      </c>
      <c r="BD65" s="1648"/>
      <c r="BE65" s="1630"/>
      <c r="BF65" s="1630" t="str">
        <f>IF(T65="","",T65)</f>
        <v>Наименование централизованной системы холодного водоснабжения</v>
      </c>
      <c r="BG65" s="1630"/>
      <c r="BH65" s="1630"/>
      <c r="BI65" s="1641">
        <v>0</v>
      </c>
    </row>
    <row s="628" customFormat="1" customHeight="1" ht="14.25">
      <c r="A66" s="1349"/>
      <c r="B66" s="1349"/>
      <c r="C66" s="1349"/>
      <c r="D66" s="1349"/>
      <c r="E66" s="2265">
        <v>1</v>
      </c>
      <c r="F66" s="2265"/>
      <c r="G66" s="2265"/>
      <c r="H66" s="2264">
        <v>1</v>
      </c>
      <c r="I66" s="1349"/>
      <c r="J66" s="1349"/>
      <c r="K66" s="1349"/>
      <c r="L66" s="1551"/>
      <c r="M66" s="1321"/>
      <c r="N66" s="1321"/>
      <c r="O66" s="1321"/>
      <c r="P66" s="1503"/>
      <c r="Q66" s="1504"/>
      <c r="R66" s="363"/>
      <c r="S66" s="2310"/>
      <c r="T66" s="1505"/>
      <c r="U66" s="1390"/>
      <c r="V66" s="2303"/>
      <c r="W66" s="2303"/>
      <c r="X66" s="2303"/>
      <c r="Y66" s="2303"/>
      <c r="Z66" s="2303"/>
      <c r="AA66" s="2303"/>
      <c r="AB66" s="2303"/>
      <c r="AC66" s="2304"/>
      <c r="AD66" s="2302"/>
      <c r="AE66" s="2303"/>
      <c r="AF66" s="2303"/>
      <c r="AG66" s="2303"/>
      <c r="AH66" s="2303"/>
      <c r="AI66" s="2303"/>
      <c r="AJ66" s="2303"/>
      <c r="AK66" s="2303"/>
      <c r="AL66" s="2303"/>
      <c r="AM66" s="2303"/>
      <c r="AN66" s="2303"/>
      <c r="AO66" s="2303"/>
      <c r="AP66" s="2303"/>
      <c r="AQ66" s="2303"/>
      <c r="AR66" s="2303"/>
      <c r="AS66" s="2303"/>
      <c r="AT66" s="2303"/>
      <c r="AU66" s="2303"/>
      <c r="AV66" s="2303"/>
      <c r="AW66" s="2303"/>
      <c r="AX66" s="2303"/>
      <c r="AY66" s="2303"/>
      <c r="AZ66" s="2303"/>
      <c r="BA66" s="2303"/>
      <c r="BB66" s="2304"/>
      <c r="BC66" s="1391" t="s">
        <v>418</v>
      </c>
      <c r="BD66" s="1648"/>
      <c r="BE66" s="1630"/>
      <c r="BF66" s="1630" t="str">
        <f>IF(T66="","",T66)</f>
        <v/>
      </c>
      <c r="BG66" s="1630"/>
      <c r="BH66" s="1630"/>
      <c r="BI66" s="1648">
        <v>0</v>
      </c>
    </row>
    <row s="628" customFormat="1" customHeight="1" ht="14.25">
      <c r="A67" s="1349"/>
      <c r="B67" s="1349"/>
      <c r="C67" s="1349"/>
      <c r="D67" s="1349"/>
      <c r="E67" s="2265">
        <v>1</v>
      </c>
      <c r="F67" s="2265"/>
      <c r="G67" s="2265"/>
      <c r="H67" s="2265"/>
      <c r="I67" s="2262" t="str">
        <f>S66&amp;".1"</f>
        <v>.1</v>
      </c>
      <c r="J67" s="1349"/>
      <c r="K67" s="1349"/>
      <c r="L67" s="1551" t="s">
        <v>419</v>
      </c>
      <c r="M67" s="516"/>
      <c r="N67" s="516"/>
      <c r="O67" s="516"/>
      <c r="P67" s="2380">
        <v>1</v>
      </c>
      <c r="Q67" s="2380"/>
      <c r="R67" s="362"/>
      <c r="S67" s="2310"/>
      <c r="T67" s="1389"/>
      <c r="U67" s="1390"/>
      <c r="V67" s="2303"/>
      <c r="W67" s="2303"/>
      <c r="X67" s="2303"/>
      <c r="Y67" s="2303"/>
      <c r="Z67" s="2303"/>
      <c r="AA67" s="2303"/>
      <c r="AB67" s="2303"/>
      <c r="AC67" s="2304"/>
      <c r="AD67" s="2302"/>
      <c r="AE67" s="2303"/>
      <c r="AF67" s="2303"/>
      <c r="AG67" s="2303"/>
      <c r="AH67" s="2303"/>
      <c r="AI67" s="2303"/>
      <c r="AJ67" s="2303"/>
      <c r="AK67" s="2303"/>
      <c r="AL67" s="2303"/>
      <c r="AM67" s="2303"/>
      <c r="AN67" s="2303"/>
      <c r="AO67" s="2303"/>
      <c r="AP67" s="2303"/>
      <c r="AQ67" s="2303"/>
      <c r="AR67" s="2303"/>
      <c r="AS67" s="2303"/>
      <c r="AT67" s="2303"/>
      <c r="AU67" s="2303"/>
      <c r="AV67" s="2303"/>
      <c r="AW67" s="2303"/>
      <c r="AX67" s="2303"/>
      <c r="AY67" s="2303"/>
      <c r="AZ67" s="2303"/>
      <c r="BA67" s="2303"/>
      <c r="BB67" s="2304"/>
      <c r="BC67" s="1391"/>
      <c r="BD67" s="1648"/>
      <c r="BE67" s="1630"/>
      <c r="BF67" s="1630" t="str">
        <f>IF(T67="","",T67)</f>
        <v/>
      </c>
      <c r="BG67" s="1630"/>
      <c r="BH67" s="1630"/>
      <c r="BI67" s="1648">
        <v>0</v>
      </c>
    </row>
    <row s="628" customFormat="1" customHeight="1" ht="14.25">
      <c r="A68" s="1349"/>
      <c r="B68" s="1349"/>
      <c r="C68" s="1349"/>
      <c r="D68" s="1349"/>
      <c r="E68" s="2265">
        <v>1</v>
      </c>
      <c r="F68" s="2265"/>
      <c r="G68" s="2265"/>
      <c r="H68" s="2265"/>
      <c r="I68" s="2292"/>
      <c r="J68" s="2262" t="str">
        <f>S66&amp;".1"</f>
        <v>.1</v>
      </c>
      <c r="K68" s="1349"/>
      <c r="L68" s="1551"/>
      <c r="M68" s="516"/>
      <c r="N68" s="516"/>
      <c r="O68" s="516"/>
      <c r="P68" s="2380"/>
      <c r="Q68" s="2380">
        <v>1</v>
      </c>
      <c r="R68" s="363"/>
      <c r="S68" s="2310"/>
      <c r="T68" s="1405"/>
      <c r="U68" s="1390"/>
      <c r="V68" s="2303"/>
      <c r="W68" s="2303"/>
      <c r="X68" s="2303"/>
      <c r="Y68" s="2303"/>
      <c r="Z68" s="2303"/>
      <c r="AA68" s="2303"/>
      <c r="AB68" s="2303"/>
      <c r="AC68" s="2304"/>
      <c r="AD68" s="2302"/>
      <c r="AE68" s="2303"/>
      <c r="AF68" s="2303"/>
      <c r="AG68" s="2303"/>
      <c r="AH68" s="2303"/>
      <c r="AI68" s="2303"/>
      <c r="AJ68" s="2303"/>
      <c r="AK68" s="2303"/>
      <c r="AL68" s="2303"/>
      <c r="AM68" s="2303"/>
      <c r="AN68" s="2303"/>
      <c r="AO68" s="2303"/>
      <c r="AP68" s="2303"/>
      <c r="AQ68" s="2303"/>
      <c r="AR68" s="2303"/>
      <c r="AS68" s="2303"/>
      <c r="AT68" s="2303"/>
      <c r="AU68" s="2303"/>
      <c r="AV68" s="2303"/>
      <c r="AW68" s="2303"/>
      <c r="AX68" s="2303"/>
      <c r="AY68" s="2303"/>
      <c r="AZ68" s="2303"/>
      <c r="BA68" s="2303"/>
      <c r="BB68" s="2304"/>
      <c r="BC68" s="1391"/>
      <c r="BD68" s="1648"/>
      <c r="BE68" s="1630"/>
      <c r="BF68" s="1630" t="str">
        <f>IF(T68="","",T68)</f>
        <v/>
      </c>
      <c r="BG68" s="1630"/>
      <c r="BH68" s="1630"/>
      <c r="BI68" s="1648">
        <v>0</v>
      </c>
    </row>
    <row s="1856" customFormat="1" customHeight="1" ht="11.25">
      <c r="A69" s="1369"/>
      <c r="B69" s="1369"/>
      <c r="C69" s="1369"/>
      <c r="D69" s="1369"/>
      <c r="E69" s="2265">
        <v>1</v>
      </c>
      <c r="F69" s="2265"/>
      <c r="G69" s="2265"/>
      <c r="H69" s="2265"/>
      <c r="I69" s="2292"/>
      <c r="J69" s="2292"/>
      <c r="K69" s="2262" t="str">
        <f>S65&amp;".1"</f>
        <v>2.1.1.1</v>
      </c>
      <c r="L69" s="1375"/>
      <c r="M69" s="1782"/>
      <c r="N69" s="1782"/>
      <c r="O69" s="1782"/>
      <c r="P69" s="2380"/>
      <c r="Q69" s="2380"/>
      <c r="R69" s="2353">
        <v>1</v>
      </c>
      <c r="S69" s="2347" t="str">
        <f>$K69</f>
        <v>2.1.1.1</v>
      </c>
      <c r="T69" s="2366" t="s">
        <v>531</v>
      </c>
      <c r="U69" s="306"/>
      <c r="V69" s="757"/>
      <c r="W69" s="1263"/>
      <c r="X69" s="757"/>
      <c r="Y69" s="1263"/>
      <c r="Z69" s="2608"/>
      <c r="AA69" s="2113" t="s">
        <v>62</v>
      </c>
      <c r="AB69" s="2608"/>
      <c r="AC69" s="2113" t="s">
        <v>62</v>
      </c>
      <c r="AD69" s="2191" t="s">
        <v>19</v>
      </c>
      <c r="AE69" s="2332"/>
      <c r="AF69" s="2443">
        <v>1</v>
      </c>
      <c r="AG69" s="2682" t="s">
        <v>28</v>
      </c>
      <c r="AH69" s="2113" t="s">
        <v>62</v>
      </c>
      <c r="AI69" s="2332"/>
      <c r="AJ69" s="2443">
        <v>1</v>
      </c>
      <c r="AK69" s="2333" t="s">
        <v>532</v>
      </c>
      <c r="AL69" s="2113" t="s">
        <v>19</v>
      </c>
      <c r="AM69" s="2300"/>
      <c r="AN69" s="2443">
        <v>1</v>
      </c>
      <c r="AO69" s="2683" t="s">
        <v>28</v>
      </c>
      <c r="AP69" s="2364" t="s">
        <v>62</v>
      </c>
      <c r="AQ69" s="317"/>
      <c r="AR69" s="2443">
        <v>1</v>
      </c>
      <c r="AS69" s="2582" t="s">
        <v>530</v>
      </c>
      <c r="AT69" s="757"/>
      <c r="AU69" s="1263"/>
      <c r="AV69" s="757"/>
      <c r="AW69" s="1263">
        <v>1495.66</v>
      </c>
      <c r="AX69" s="2608">
        <v>46023.61476851852</v>
      </c>
      <c r="AY69" s="2113" t="s">
        <v>62</v>
      </c>
      <c r="AZ69" s="2608">
        <v>46387.62416666667</v>
      </c>
      <c r="BA69" s="2113" t="s">
        <v>62</v>
      </c>
      <c r="BB69" s="1354"/>
      <c r="BC69" s="2259" t="s">
        <v>514</v>
      </c>
      <c r="BD69" s="1648"/>
      <c r="BE69" s="1630"/>
      <c r="BF69" s="1630" t="str">
        <f>IF(T69="","",T69)</f>
        <v>Наружные инженерные сети водопровода, разработка грунта с погрузкой в автотранспорт , стальные трубы диаметром:</v>
      </c>
      <c r="BG69" s="1630"/>
      <c r="BH69" s="1630"/>
      <c r="BI69" s="1641">
        <v>0</v>
      </c>
    </row>
    <row customHeight="1" ht="14.25">
      <c r="A70" s="1369"/>
      <c r="B70" s="1369"/>
      <c r="C70" s="1369"/>
      <c r="D70" s="1369"/>
      <c r="E70" s="2265"/>
      <c r="F70" s="2265"/>
      <c r="G70" s="2265"/>
      <c r="H70" s="2265"/>
      <c r="I70" s="2292"/>
      <c r="J70" s="2292"/>
      <c r="K70" s="2262" t="str">
        <f>S66&amp;".1"</f>
        <v>.1</v>
      </c>
      <c r="L70" s="1375"/>
      <c r="M70" s="1782"/>
      <c r="N70" s="1782"/>
      <c r="O70" s="1782"/>
      <c r="P70" s="2380"/>
      <c r="Q70" s="2380"/>
      <c r="R70" s="2353">
        <v>1</v>
      </c>
      <c r="S70" s="2347" t="str">
        <f>$K70</f>
        <v>.1</v>
      </c>
      <c r="T70" s="2366"/>
      <c r="U70" s="306"/>
      <c r="V70" s="757"/>
      <c r="W70" s="1263"/>
      <c r="X70" s="757"/>
      <c r="Y70" s="1263"/>
      <c r="Z70" s="2608"/>
      <c r="AA70" s="2113" t="s">
        <v>62</v>
      </c>
      <c r="AB70" s="2608"/>
      <c r="AC70" s="2113" t="s">
        <v>62</v>
      </c>
      <c r="AD70" s="2191" t="s">
        <v>62</v>
      </c>
      <c r="AE70" s="2332"/>
      <c r="AF70" s="2443">
        <v>1</v>
      </c>
      <c r="AG70" s="2369"/>
      <c r="AH70" s="2113" t="s">
        <v>62</v>
      </c>
      <c r="AI70" s="2332"/>
      <c r="AJ70" s="2443">
        <v>1</v>
      </c>
      <c r="AK70" s="2333" t="s">
        <v>28</v>
      </c>
      <c r="AL70" s="2113" t="s">
        <v>62</v>
      </c>
      <c r="AM70" s="2300"/>
      <c r="AN70" s="2443">
        <v>1</v>
      </c>
      <c r="AO70" s="2363"/>
      <c r="AP70" s="2364" t="s">
        <v>62</v>
      </c>
      <c r="AQ70" s="689" t="s">
        <v>253</v>
      </c>
      <c r="AR70" s="2443" t="s">
        <v>112</v>
      </c>
      <c r="AS70" s="2582" t="s">
        <v>530</v>
      </c>
      <c r="AT70" s="757"/>
      <c r="AU70" s="1263"/>
      <c r="AV70" s="757"/>
      <c r="AW70" s="1263">
        <v>2073.13</v>
      </c>
      <c r="AX70" s="2608">
        <v>46023.614895833336</v>
      </c>
      <c r="AY70" s="2113" t="s">
        <v>62</v>
      </c>
      <c r="AZ70" s="2608">
        <v>46387.62440972222</v>
      </c>
      <c r="BA70" s="2113" t="s">
        <v>62</v>
      </c>
      <c r="BB70" s="1354"/>
      <c r="BC70" s="2259" t="s">
        <v>514</v>
      </c>
      <c r="BD70" s="1648"/>
      <c r="BE70" s="1630"/>
      <c r="BF70" s="1630" t="str">
        <f>IF(T70="","",T70)</f>
        <v/>
      </c>
      <c r="BG70" s="1630"/>
      <c r="BH70" s="1630"/>
      <c r="BI70" s="1641">
        <v>0</v>
      </c>
    </row>
    <row customHeight="1" ht="14.25">
      <c r="A71" s="1369"/>
      <c r="B71" s="1369"/>
      <c r="C71" s="1369"/>
      <c r="D71" s="1369"/>
      <c r="E71" s="2265"/>
      <c r="F71" s="2265"/>
      <c r="G71" s="2265"/>
      <c r="H71" s="2265"/>
      <c r="I71" s="2292"/>
      <c r="J71" s="2292"/>
      <c r="K71" s="2262" t="str">
        <f>S67&amp;".1"</f>
        <v>.1</v>
      </c>
      <c r="L71" s="1375"/>
      <c r="M71" s="1782"/>
      <c r="N71" s="1782"/>
      <c r="O71" s="1782"/>
      <c r="P71" s="2380"/>
      <c r="Q71" s="2380"/>
      <c r="R71" s="2353">
        <v>1</v>
      </c>
      <c r="S71" s="2347" t="str">
        <f>$K71</f>
        <v>.1</v>
      </c>
      <c r="T71" s="2366"/>
      <c r="U71" s="306"/>
      <c r="V71" s="757"/>
      <c r="W71" s="1263"/>
      <c r="X71" s="757"/>
      <c r="Y71" s="1263"/>
      <c r="Z71" s="2608"/>
      <c r="AA71" s="2113" t="s">
        <v>62</v>
      </c>
      <c r="AB71" s="2608"/>
      <c r="AC71" s="2113" t="s">
        <v>62</v>
      </c>
      <c r="AD71" s="2191" t="s">
        <v>62</v>
      </c>
      <c r="AE71" s="2332"/>
      <c r="AF71" s="2443">
        <v>1</v>
      </c>
      <c r="AG71" s="2369"/>
      <c r="AH71" s="2113" t="s">
        <v>62</v>
      </c>
      <c r="AI71" s="2332"/>
      <c r="AJ71" s="2443">
        <v>1</v>
      </c>
      <c r="AK71" s="2333" t="s">
        <v>28</v>
      </c>
      <c r="AL71" s="2113" t="s">
        <v>62</v>
      </c>
      <c r="AM71" s="2300"/>
      <c r="AN71" s="2443">
        <v>1</v>
      </c>
      <c r="AO71" s="2363"/>
      <c r="AP71" s="2364" t="s">
        <v>62</v>
      </c>
      <c r="AQ71" s="689" t="s">
        <v>253</v>
      </c>
      <c r="AR71" s="2443" t="s">
        <v>91</v>
      </c>
      <c r="AS71" s="2582" t="s">
        <v>530</v>
      </c>
      <c r="AT71" s="757"/>
      <c r="AU71" s="1263"/>
      <c r="AV71" s="757"/>
      <c r="AW71" s="1263">
        <v>2243.49</v>
      </c>
      <c r="AX71" s="2608">
        <v>46023.61494212963</v>
      </c>
      <c r="AY71" s="2113" t="s">
        <v>62</v>
      </c>
      <c r="AZ71" s="2608">
        <v>46387.62451388889</v>
      </c>
      <c r="BA71" s="2113" t="s">
        <v>62</v>
      </c>
      <c r="BB71" s="1354"/>
      <c r="BC71" s="2259" t="s">
        <v>514</v>
      </c>
      <c r="BD71" s="1648"/>
      <c r="BE71" s="1630"/>
      <c r="BF71" s="1630" t="str">
        <f>IF(T71="","",T71)</f>
        <v/>
      </c>
      <c r="BG71" s="1630"/>
      <c r="BH71" s="1630"/>
      <c r="BI71" s="1641">
        <v>0</v>
      </c>
    </row>
    <row customHeight="1" ht="14.25">
      <c r="A72" s="1369"/>
      <c r="B72" s="1369"/>
      <c r="C72" s="1369"/>
      <c r="D72" s="1369"/>
      <c r="E72" s="2265"/>
      <c r="F72" s="2265"/>
      <c r="G72" s="2265"/>
      <c r="H72" s="2265"/>
      <c r="I72" s="2292"/>
      <c r="J72" s="2292"/>
      <c r="K72" s="2262" t="str">
        <f>S68&amp;".1"</f>
        <v>.1</v>
      </c>
      <c r="L72" s="1375"/>
      <c r="M72" s="1782"/>
      <c r="N72" s="1782"/>
      <c r="O72" s="1782"/>
      <c r="P72" s="2380"/>
      <c r="Q72" s="2380"/>
      <c r="R72" s="2353">
        <v>1</v>
      </c>
      <c r="S72" s="2347" t="str">
        <f>$K72</f>
        <v>.1</v>
      </c>
      <c r="T72" s="2366"/>
      <c r="U72" s="306"/>
      <c r="V72" s="757"/>
      <c r="W72" s="1263"/>
      <c r="X72" s="757"/>
      <c r="Y72" s="1263"/>
      <c r="Z72" s="2608"/>
      <c r="AA72" s="2113" t="s">
        <v>62</v>
      </c>
      <c r="AB72" s="2608"/>
      <c r="AC72" s="2113" t="s">
        <v>62</v>
      </c>
      <c r="AD72" s="2191" t="s">
        <v>62</v>
      </c>
      <c r="AE72" s="2332"/>
      <c r="AF72" s="2443">
        <v>1</v>
      </c>
      <c r="AG72" s="2369"/>
      <c r="AH72" s="2113" t="s">
        <v>62</v>
      </c>
      <c r="AI72" s="2332"/>
      <c r="AJ72" s="2443">
        <v>1</v>
      </c>
      <c r="AK72" s="2333" t="s">
        <v>28</v>
      </c>
      <c r="AL72" s="2113" t="s">
        <v>62</v>
      </c>
      <c r="AM72" s="2300"/>
      <c r="AN72" s="2443">
        <v>1</v>
      </c>
      <c r="AO72" s="2363"/>
      <c r="AP72" s="2364" t="s">
        <v>62</v>
      </c>
      <c r="AQ72" s="689" t="s">
        <v>253</v>
      </c>
      <c r="AR72" s="2443" t="s">
        <v>92</v>
      </c>
      <c r="AS72" s="2582" t="s">
        <v>530</v>
      </c>
      <c r="AT72" s="757"/>
      <c r="AU72" s="1263"/>
      <c r="AV72" s="757"/>
      <c r="AW72" s="1263">
        <v>3109.73</v>
      </c>
      <c r="AX72" s="2608">
        <v>46023.615</v>
      </c>
      <c r="AY72" s="2113" t="s">
        <v>62</v>
      </c>
      <c r="AZ72" s="2608">
        <v>46387.62461805555</v>
      </c>
      <c r="BA72" s="2113" t="s">
        <v>62</v>
      </c>
      <c r="BB72" s="1354"/>
      <c r="BC72" s="2259" t="s">
        <v>514</v>
      </c>
      <c r="BD72" s="1648"/>
      <c r="BE72" s="1630"/>
      <c r="BF72" s="1630" t="str">
        <f>IF(T72="","",T72)</f>
        <v/>
      </c>
      <c r="BG72" s="1630"/>
      <c r="BH72" s="1630"/>
      <c r="BI72" s="1641">
        <v>0</v>
      </c>
    </row>
    <row s="1856" customFormat="1" customHeight="1" ht="11.25">
      <c r="A73" s="1369"/>
      <c r="B73" s="1369"/>
      <c r="C73" s="1369"/>
      <c r="D73" s="1369"/>
      <c r="E73" s="2265">
        <v>1</v>
      </c>
      <c r="F73" s="2265"/>
      <c r="G73" s="2265"/>
      <c r="H73" s="2265"/>
      <c r="I73" s="2292"/>
      <c r="J73" s="2292"/>
      <c r="K73" s="2262"/>
      <c r="L73" s="1375"/>
      <c r="M73" s="1782"/>
      <c r="N73" s="1782"/>
      <c r="O73" s="1782"/>
      <c r="P73" s="2380"/>
      <c r="Q73" s="2380"/>
      <c r="R73" s="2353"/>
      <c r="S73" s="2348"/>
      <c r="T73" s="2367"/>
      <c r="U73" s="306"/>
      <c r="V73" s="2684"/>
      <c r="W73" s="2685"/>
      <c r="X73" s="2686"/>
      <c r="Y73" s="2687"/>
      <c r="Z73" s="2688"/>
      <c r="AA73" s="2689"/>
      <c r="AB73" s="2690"/>
      <c r="AC73" s="2691"/>
      <c r="AD73" s="2192"/>
      <c r="AE73" s="2332"/>
      <c r="AF73" s="2443"/>
      <c r="AG73" s="2682" t="s">
        <v>28</v>
      </c>
      <c r="AH73" s="2113"/>
      <c r="AI73" s="2332"/>
      <c r="AJ73" s="2443"/>
      <c r="AK73" s="2333"/>
      <c r="AL73" s="2113"/>
      <c r="AM73" s="2301"/>
      <c r="AN73" s="2443"/>
      <c r="AO73" s="2683" t="s">
        <v>28</v>
      </c>
      <c r="AP73" s="2365"/>
      <c r="AQ73" s="2692"/>
      <c r="AR73" s="2693"/>
      <c r="AS73" s="2694" t="s">
        <v>515</v>
      </c>
      <c r="AT73" s="2695"/>
      <c r="AU73" s="2696"/>
      <c r="AV73" s="2697"/>
      <c r="AW73" s="2698"/>
      <c r="AX73" s="2699"/>
      <c r="AY73" s="2700"/>
      <c r="AZ73" s="2701"/>
      <c r="BA73" s="2702"/>
      <c r="BB73" s="2703"/>
      <c r="BC73" s="2260"/>
      <c r="BD73" s="1648"/>
      <c r="BE73" s="1630"/>
      <c r="BF73" s="1630"/>
      <c r="BG73" s="1630"/>
      <c r="BH73" s="1630"/>
      <c r="BI73" s="1641">
        <v>0</v>
      </c>
    </row>
    <row s="1856" customFormat="1" customHeight="1" ht="11.25">
      <c r="A74" s="1369"/>
      <c r="B74" s="1369"/>
      <c r="C74" s="1369"/>
      <c r="D74" s="1369"/>
      <c r="E74" s="2265">
        <v>1</v>
      </c>
      <c r="F74" s="2265"/>
      <c r="G74" s="2265"/>
      <c r="H74" s="2265"/>
      <c r="I74" s="2292"/>
      <c r="J74" s="2292"/>
      <c r="K74" s="2262"/>
      <c r="L74" s="1375"/>
      <c r="M74" s="1782"/>
      <c r="N74" s="1782"/>
      <c r="O74" s="1782"/>
      <c r="P74" s="2380"/>
      <c r="Q74" s="2380"/>
      <c r="R74" s="2353"/>
      <c r="S74" s="2348"/>
      <c r="T74" s="2367"/>
      <c r="U74" s="306"/>
      <c r="V74" s="2704"/>
      <c r="W74" s="2705"/>
      <c r="X74" s="2706"/>
      <c r="Y74" s="2707"/>
      <c r="Z74" s="2708"/>
      <c r="AA74" s="2709"/>
      <c r="AB74" s="2710"/>
      <c r="AC74" s="2711"/>
      <c r="AD74" s="2192"/>
      <c r="AE74" s="2332"/>
      <c r="AF74" s="2443"/>
      <c r="AG74" s="2682" t="s">
        <v>28</v>
      </c>
      <c r="AH74" s="2113"/>
      <c r="AI74" s="2332"/>
      <c r="AJ74" s="2443"/>
      <c r="AK74" s="2333"/>
      <c r="AL74" s="2113"/>
      <c r="AM74" s="2712"/>
      <c r="AN74" s="2713"/>
      <c r="AO74" s="2714" t="s">
        <v>516</v>
      </c>
      <c r="AP74" s="2715"/>
      <c r="AQ74" s="2716"/>
      <c r="AR74" s="2717"/>
      <c r="AS74" s="2718"/>
      <c r="AT74" s="2719"/>
      <c r="AU74" s="2720"/>
      <c r="AV74" s="2721"/>
      <c r="AW74" s="2722"/>
      <c r="AX74" s="2723"/>
      <c r="AY74" s="2724"/>
      <c r="AZ74" s="2725"/>
      <c r="BA74" s="2726"/>
      <c r="BB74" s="2727"/>
      <c r="BC74" s="2260"/>
      <c r="BD74" s="1648"/>
      <c r="BE74" s="1630"/>
      <c r="BF74" s="1630"/>
      <c r="BG74" s="1630"/>
      <c r="BH74" s="1630"/>
      <c r="BI74" s="1641">
        <v>0</v>
      </c>
    </row>
    <row customHeight="1" ht="14.25">
      <c r="A75" s="1369"/>
      <c r="B75" s="1369"/>
      <c r="C75" s="1369"/>
      <c r="D75" s="1369"/>
      <c r="E75" s="2265"/>
      <c r="F75" s="2265"/>
      <c r="G75" s="2265"/>
      <c r="H75" s="2265"/>
      <c r="I75" s="2292"/>
      <c r="J75" s="2292"/>
      <c r="K75" s="2262" t="str">
        <f>S68&amp;".1"</f>
        <v>.1</v>
      </c>
      <c r="L75" s="1375"/>
      <c r="M75" s="1782"/>
      <c r="N75" s="1782"/>
      <c r="O75" s="1782"/>
      <c r="P75" s="2380"/>
      <c r="Q75" s="2380"/>
      <c r="R75" s="2353">
        <v>1</v>
      </c>
      <c r="S75" s="2347" t="str">
        <f>$K75</f>
        <v>.1</v>
      </c>
      <c r="T75" s="2366"/>
      <c r="U75" s="306"/>
      <c r="V75" s="757"/>
      <c r="W75" s="1263"/>
      <c r="X75" s="757"/>
      <c r="Y75" s="1263"/>
      <c r="Z75" s="2608"/>
      <c r="AA75" s="2113" t="s">
        <v>62</v>
      </c>
      <c r="AB75" s="2608"/>
      <c r="AC75" s="2113" t="s">
        <v>62</v>
      </c>
      <c r="AD75" s="2191" t="s">
        <v>62</v>
      </c>
      <c r="AE75" s="2332"/>
      <c r="AF75" s="2443">
        <v>1</v>
      </c>
      <c r="AG75" s="2369"/>
      <c r="AH75" s="2113" t="s">
        <v>62</v>
      </c>
      <c r="AI75" s="689" t="s">
        <v>253</v>
      </c>
      <c r="AJ75" s="2443" t="s">
        <v>112</v>
      </c>
      <c r="AK75" s="2333" t="s">
        <v>533</v>
      </c>
      <c r="AL75" s="2113" t="s">
        <v>19</v>
      </c>
      <c r="AM75" s="2300"/>
      <c r="AN75" s="2443">
        <v>1</v>
      </c>
      <c r="AO75" s="2683" t="s">
        <v>28</v>
      </c>
      <c r="AP75" s="2364" t="s">
        <v>62</v>
      </c>
      <c r="AQ75" s="317"/>
      <c r="AR75" s="2443">
        <v>1</v>
      </c>
      <c r="AS75" s="2582" t="s">
        <v>530</v>
      </c>
      <c r="AT75" s="757"/>
      <c r="AU75" s="1263"/>
      <c r="AV75" s="757"/>
      <c r="AW75" s="1263">
        <v>5141.3</v>
      </c>
      <c r="AX75" s="2608">
        <v>46023.61503472222</v>
      </c>
      <c r="AY75" s="2113" t="s">
        <v>62</v>
      </c>
      <c r="AZ75" s="2608">
        <v>46387.62472222222</v>
      </c>
      <c r="BA75" s="2113" t="s">
        <v>62</v>
      </c>
      <c r="BB75" s="1354"/>
      <c r="BC75" s="2259" t="s">
        <v>514</v>
      </c>
      <c r="BD75" s="1648"/>
      <c r="BE75" s="1630"/>
      <c r="BF75" s="1630" t="str">
        <f>IF(T75="","",T75)</f>
        <v/>
      </c>
      <c r="BG75" s="1630"/>
      <c r="BH75" s="1630"/>
      <c r="BI75" s="1641">
        <v>0</v>
      </c>
    </row>
    <row customHeight="1" ht="14.25">
      <c r="A76" s="1369"/>
      <c r="B76" s="1369"/>
      <c r="C76" s="1369"/>
      <c r="D76" s="1369"/>
      <c r="E76" s="2265"/>
      <c r="F76" s="2265"/>
      <c r="G76" s="2265"/>
      <c r="H76" s="2265"/>
      <c r="I76" s="2292"/>
      <c r="J76" s="2292"/>
      <c r="K76" s="2262" t="str">
        <f>S72&amp;".1"</f>
        <v>.1.1</v>
      </c>
      <c r="L76" s="1375"/>
      <c r="M76" s="1782"/>
      <c r="N76" s="1782"/>
      <c r="O76" s="1782"/>
      <c r="P76" s="2380"/>
      <c r="Q76" s="2380"/>
      <c r="R76" s="2353">
        <v>1</v>
      </c>
      <c r="S76" s="2347" t="str">
        <f>$K76</f>
        <v>.1.1</v>
      </c>
      <c r="T76" s="2366"/>
      <c r="U76" s="306"/>
      <c r="V76" s="757"/>
      <c r="W76" s="1263"/>
      <c r="X76" s="757"/>
      <c r="Y76" s="1263"/>
      <c r="Z76" s="2608"/>
      <c r="AA76" s="2113" t="s">
        <v>62</v>
      </c>
      <c r="AB76" s="2608"/>
      <c r="AC76" s="2113" t="s">
        <v>62</v>
      </c>
      <c r="AD76" s="2191" t="s">
        <v>62</v>
      </c>
      <c r="AE76" s="2332"/>
      <c r="AF76" s="2443">
        <v>1</v>
      </c>
      <c r="AG76" s="2369"/>
      <c r="AH76" s="2113" t="s">
        <v>62</v>
      </c>
      <c r="AI76" s="2332"/>
      <c r="AJ76" s="2443">
        <v>1</v>
      </c>
      <c r="AK76" s="2333" t="s">
        <v>28</v>
      </c>
      <c r="AL76" s="2113" t="s">
        <v>62</v>
      </c>
      <c r="AM76" s="2300"/>
      <c r="AN76" s="2443">
        <v>1</v>
      </c>
      <c r="AO76" s="2363"/>
      <c r="AP76" s="2364" t="s">
        <v>62</v>
      </c>
      <c r="AQ76" s="689" t="s">
        <v>253</v>
      </c>
      <c r="AR76" s="2443" t="s">
        <v>112</v>
      </c>
      <c r="AS76" s="2582" t="s">
        <v>530</v>
      </c>
      <c r="AT76" s="757"/>
      <c r="AU76" s="1263"/>
      <c r="AV76" s="757"/>
      <c r="AW76" s="1263">
        <v>7126.46</v>
      </c>
      <c r="AX76" s="2608">
        <v>46023.61508101852</v>
      </c>
      <c r="AY76" s="2113" t="s">
        <v>62</v>
      </c>
      <c r="AZ76" s="2608">
        <v>46387.62482638889</v>
      </c>
      <c r="BA76" s="2113" t="s">
        <v>62</v>
      </c>
      <c r="BB76" s="1354"/>
      <c r="BC76" s="2259" t="s">
        <v>514</v>
      </c>
      <c r="BD76" s="1648"/>
      <c r="BE76" s="1630"/>
      <c r="BF76" s="1630" t="str">
        <f>IF(T76="","",T76)</f>
        <v/>
      </c>
      <c r="BG76" s="1630"/>
      <c r="BH76" s="1630"/>
      <c r="BI76" s="1641">
        <v>0</v>
      </c>
    </row>
    <row customHeight="1" ht="14.25">
      <c r="A77" s="1369"/>
      <c r="B77" s="1369"/>
      <c r="C77" s="1369"/>
      <c r="D77" s="1369"/>
      <c r="E77" s="2265"/>
      <c r="F77" s="2265"/>
      <c r="G77" s="2265"/>
      <c r="H77" s="2265"/>
      <c r="I77" s="2292"/>
      <c r="J77" s="2292"/>
      <c r="K77" s="2262"/>
      <c r="L77" s="1375"/>
      <c r="M77" s="1782"/>
      <c r="N77" s="1782"/>
      <c r="O77" s="1782"/>
      <c r="P77" s="2380"/>
      <c r="Q77" s="2380"/>
      <c r="R77" s="2353"/>
      <c r="S77" s="2348"/>
      <c r="T77" s="2367"/>
      <c r="U77" s="306"/>
      <c r="V77" s="3119"/>
      <c r="W77" s="3120"/>
      <c r="X77" s="3121"/>
      <c r="Y77" s="3122"/>
      <c r="Z77" s="3123"/>
      <c r="AA77" s="3124"/>
      <c r="AB77" s="3125"/>
      <c r="AC77" s="3126"/>
      <c r="AD77" s="2192"/>
      <c r="AE77" s="2332"/>
      <c r="AF77" s="2443"/>
      <c r="AG77" s="2369"/>
      <c r="AH77" s="2113"/>
      <c r="AI77" s="2332"/>
      <c r="AJ77" s="2443">
        <v>1</v>
      </c>
      <c r="AK77" s="2333"/>
      <c r="AL77" s="2113"/>
      <c r="AM77" s="2301"/>
      <c r="AN77" s="2443"/>
      <c r="AO77" s="2683" t="s">
        <v>28</v>
      </c>
      <c r="AP77" s="2365"/>
      <c r="AQ77" s="3127"/>
      <c r="AR77" s="3128"/>
      <c r="AS77" s="3129" t="s">
        <v>515</v>
      </c>
      <c r="AT77" s="3130"/>
      <c r="AU77" s="3131"/>
      <c r="AV77" s="3132"/>
      <c r="AW77" s="3133"/>
      <c r="AX77" s="3134"/>
      <c r="AY77" s="3135"/>
      <c r="AZ77" s="3136"/>
      <c r="BA77" s="3137"/>
      <c r="BB77" s="3138"/>
      <c r="BC77" s="2260"/>
      <c r="BD77" s="1648"/>
      <c r="BE77" s="1630"/>
      <c r="BF77" s="1630"/>
      <c r="BG77" s="1630"/>
      <c r="BH77" s="1630"/>
      <c r="BI77" s="1641">
        <v>0</v>
      </c>
    </row>
    <row customHeight="1" ht="14.25">
      <c r="A78" s="1369"/>
      <c r="B78" s="1369"/>
      <c r="C78" s="1369"/>
      <c r="D78" s="1369"/>
      <c r="E78" s="2265"/>
      <c r="F78" s="2265"/>
      <c r="G78" s="2265"/>
      <c r="H78" s="2265"/>
      <c r="I78" s="2292"/>
      <c r="J78" s="2292"/>
      <c r="K78" s="2262"/>
      <c r="L78" s="1375"/>
      <c r="M78" s="1782"/>
      <c r="N78" s="1782"/>
      <c r="O78" s="1782"/>
      <c r="P78" s="2380"/>
      <c r="Q78" s="2380"/>
      <c r="R78" s="2353"/>
      <c r="S78" s="2348"/>
      <c r="T78" s="2367"/>
      <c r="U78" s="306"/>
      <c r="V78" s="3139"/>
      <c r="W78" s="3140"/>
      <c r="X78" s="3141"/>
      <c r="Y78" s="3142"/>
      <c r="Z78" s="3143"/>
      <c r="AA78" s="3144"/>
      <c r="AB78" s="3145"/>
      <c r="AC78" s="3146"/>
      <c r="AD78" s="2192"/>
      <c r="AE78" s="2332"/>
      <c r="AF78" s="2443"/>
      <c r="AG78" s="2369"/>
      <c r="AH78" s="2113"/>
      <c r="AI78" s="2332"/>
      <c r="AJ78" s="2443">
        <v>1</v>
      </c>
      <c r="AK78" s="2333"/>
      <c r="AL78" s="2113"/>
      <c r="AM78" s="3147"/>
      <c r="AN78" s="3148"/>
      <c r="AO78" s="3149" t="s">
        <v>516</v>
      </c>
      <c r="AP78" s="3150"/>
      <c r="AQ78" s="3151"/>
      <c r="AR78" s="3152"/>
      <c r="AS78" s="3153"/>
      <c r="AT78" s="3154"/>
      <c r="AU78" s="3155"/>
      <c r="AV78" s="3156"/>
      <c r="AW78" s="3157"/>
      <c r="AX78" s="3158"/>
      <c r="AY78" s="3159"/>
      <c r="AZ78" s="3160"/>
      <c r="BA78" s="3161"/>
      <c r="BB78" s="3162"/>
      <c r="BC78" s="2260"/>
      <c r="BD78" s="1648"/>
      <c r="BE78" s="1630"/>
      <c r="BF78" s="1630"/>
      <c r="BG78" s="1630"/>
      <c r="BH78" s="1630"/>
      <c r="BI78" s="1641">
        <v>0</v>
      </c>
    </row>
    <row customHeight="1" ht="14.25">
      <c r="A79" s="1369"/>
      <c r="B79" s="1369"/>
      <c r="C79" s="1369"/>
      <c r="D79" s="1369"/>
      <c r="E79" s="2265"/>
      <c r="F79" s="2265"/>
      <c r="G79" s="2265"/>
      <c r="H79" s="2265"/>
      <c r="I79" s="2292"/>
      <c r="J79" s="2292"/>
      <c r="K79" s="2262" t="str">
        <f>S75&amp;".1"</f>
        <v>.1.1</v>
      </c>
      <c r="L79" s="1375"/>
      <c r="M79" s="1782"/>
      <c r="N79" s="1782"/>
      <c r="O79" s="1782"/>
      <c r="P79" s="2380"/>
      <c r="Q79" s="2380"/>
      <c r="R79" s="2353">
        <v>1</v>
      </c>
      <c r="S79" s="2347" t="str">
        <f>$K79</f>
        <v>.1.1</v>
      </c>
      <c r="T79" s="2366"/>
      <c r="U79" s="306"/>
      <c r="V79" s="757"/>
      <c r="W79" s="1263"/>
      <c r="X79" s="757"/>
      <c r="Y79" s="1263"/>
      <c r="Z79" s="2608"/>
      <c r="AA79" s="2113" t="s">
        <v>62</v>
      </c>
      <c r="AB79" s="2608"/>
      <c r="AC79" s="2113" t="s">
        <v>62</v>
      </c>
      <c r="AD79" s="2191" t="s">
        <v>62</v>
      </c>
      <c r="AE79" s="2332"/>
      <c r="AF79" s="2443">
        <v>1</v>
      </c>
      <c r="AG79" s="2369"/>
      <c r="AH79" s="2113" t="s">
        <v>62</v>
      </c>
      <c r="AI79" s="689" t="s">
        <v>253</v>
      </c>
      <c r="AJ79" s="2443" t="s">
        <v>91</v>
      </c>
      <c r="AK79" s="2333" t="s">
        <v>534</v>
      </c>
      <c r="AL79" s="2113" t="s">
        <v>19</v>
      </c>
      <c r="AM79" s="2300"/>
      <c r="AN79" s="2443">
        <v>1</v>
      </c>
      <c r="AO79" s="2683" t="s">
        <v>28</v>
      </c>
      <c r="AP79" s="2364" t="s">
        <v>62</v>
      </c>
      <c r="AQ79" s="317"/>
      <c r="AR79" s="2443">
        <v>1</v>
      </c>
      <c r="AS79" s="2582" t="s">
        <v>530</v>
      </c>
      <c r="AT79" s="757"/>
      <c r="AU79" s="1263"/>
      <c r="AV79" s="757"/>
      <c r="AW79" s="1263">
        <v>7197.81</v>
      </c>
      <c r="AX79" s="2608">
        <v>46023.61513888889</v>
      </c>
      <c r="AY79" s="2113" t="s">
        <v>62</v>
      </c>
      <c r="AZ79" s="2608">
        <v>46387.62644675926</v>
      </c>
      <c r="BA79" s="2113" t="s">
        <v>62</v>
      </c>
      <c r="BB79" s="1354"/>
      <c r="BC79" s="2259" t="s">
        <v>514</v>
      </c>
      <c r="BD79" s="1648"/>
      <c r="BE79" s="1630"/>
      <c r="BF79" s="1630" t="str">
        <f>IF(T79="","",T79)</f>
        <v/>
      </c>
      <c r="BG79" s="1630"/>
      <c r="BH79" s="1630"/>
      <c r="BI79" s="1641">
        <v>0</v>
      </c>
    </row>
    <row customHeight="1" ht="14.25">
      <c r="A80" s="1369"/>
      <c r="B80" s="1369"/>
      <c r="C80" s="1369"/>
      <c r="D80" s="1369"/>
      <c r="E80" s="2265"/>
      <c r="F80" s="2265"/>
      <c r="G80" s="2265"/>
      <c r="H80" s="2265"/>
      <c r="I80" s="2292"/>
      <c r="J80" s="2292"/>
      <c r="K80" s="2262" t="str">
        <f>S76&amp;".1"</f>
        <v>.1.1.1</v>
      </c>
      <c r="L80" s="1375"/>
      <c r="M80" s="1782"/>
      <c r="N80" s="1782"/>
      <c r="O80" s="1782"/>
      <c r="P80" s="2380"/>
      <c r="Q80" s="2380"/>
      <c r="R80" s="2353">
        <v>1</v>
      </c>
      <c r="S80" s="2347" t="str">
        <f>$K80</f>
        <v>.1.1.1</v>
      </c>
      <c r="T80" s="2366"/>
      <c r="U80" s="306"/>
      <c r="V80" s="757"/>
      <c r="W80" s="1263"/>
      <c r="X80" s="757"/>
      <c r="Y80" s="1263"/>
      <c r="Z80" s="2608"/>
      <c r="AA80" s="2113" t="s">
        <v>62</v>
      </c>
      <c r="AB80" s="2608"/>
      <c r="AC80" s="2113" t="s">
        <v>62</v>
      </c>
      <c r="AD80" s="2191" t="s">
        <v>62</v>
      </c>
      <c r="AE80" s="2332"/>
      <c r="AF80" s="2443">
        <v>1</v>
      </c>
      <c r="AG80" s="2369"/>
      <c r="AH80" s="2113" t="s">
        <v>62</v>
      </c>
      <c r="AI80" s="2332"/>
      <c r="AJ80" s="2443">
        <v>1</v>
      </c>
      <c r="AK80" s="2333" t="s">
        <v>28</v>
      </c>
      <c r="AL80" s="2113" t="s">
        <v>62</v>
      </c>
      <c r="AM80" s="2300"/>
      <c r="AN80" s="2443">
        <v>1</v>
      </c>
      <c r="AO80" s="2363"/>
      <c r="AP80" s="2364" t="s">
        <v>62</v>
      </c>
      <c r="AQ80" s="689" t="s">
        <v>253</v>
      </c>
      <c r="AR80" s="2443" t="s">
        <v>112</v>
      </c>
      <c r="AS80" s="2582" t="s">
        <v>530</v>
      </c>
      <c r="AT80" s="757"/>
      <c r="AU80" s="1263"/>
      <c r="AV80" s="757"/>
      <c r="AW80" s="1263">
        <v>9977.03</v>
      </c>
      <c r="AX80" s="2608">
        <v>46023.61519675926</v>
      </c>
      <c r="AY80" s="2113" t="s">
        <v>62</v>
      </c>
      <c r="AZ80" s="2608">
        <v>46387.6265162037</v>
      </c>
      <c r="BA80" s="2113" t="s">
        <v>62</v>
      </c>
      <c r="BB80" s="1354"/>
      <c r="BC80" s="2259" t="s">
        <v>514</v>
      </c>
      <c r="BD80" s="1648"/>
      <c r="BE80" s="1630"/>
      <c r="BF80" s="1630" t="str">
        <f>IF(T80="","",T80)</f>
        <v/>
      </c>
      <c r="BG80" s="1630"/>
      <c r="BH80" s="1630"/>
      <c r="BI80" s="1641">
        <v>0</v>
      </c>
    </row>
    <row customHeight="1" ht="14.25">
      <c r="A81" s="1369"/>
      <c r="B81" s="1369"/>
      <c r="C81" s="1369"/>
      <c r="D81" s="1369"/>
      <c r="E81" s="2265"/>
      <c r="F81" s="2265"/>
      <c r="G81" s="2265"/>
      <c r="H81" s="2265"/>
      <c r="I81" s="2292"/>
      <c r="J81" s="2292"/>
      <c r="K81" s="2262" t="str">
        <f>S77&amp;".1"</f>
        <v>.1</v>
      </c>
      <c r="L81" s="1375"/>
      <c r="M81" s="1782"/>
      <c r="N81" s="1782"/>
      <c r="O81" s="1782"/>
      <c r="P81" s="2380"/>
      <c r="Q81" s="2380"/>
      <c r="R81" s="2353">
        <v>1</v>
      </c>
      <c r="S81" s="2347" t="str">
        <f>$K81</f>
        <v>.1</v>
      </c>
      <c r="T81" s="2366"/>
      <c r="U81" s="306"/>
      <c r="V81" s="757"/>
      <c r="W81" s="1263"/>
      <c r="X81" s="757"/>
      <c r="Y81" s="1263"/>
      <c r="Z81" s="2608"/>
      <c r="AA81" s="2113" t="s">
        <v>62</v>
      </c>
      <c r="AB81" s="2608"/>
      <c r="AC81" s="2113" t="s">
        <v>62</v>
      </c>
      <c r="AD81" s="2191" t="s">
        <v>62</v>
      </c>
      <c r="AE81" s="2332"/>
      <c r="AF81" s="2443">
        <v>1</v>
      </c>
      <c r="AG81" s="2369"/>
      <c r="AH81" s="2113" t="s">
        <v>62</v>
      </c>
      <c r="AI81" s="2332"/>
      <c r="AJ81" s="2443">
        <v>1</v>
      </c>
      <c r="AK81" s="2333" t="s">
        <v>28</v>
      </c>
      <c r="AL81" s="2113" t="s">
        <v>62</v>
      </c>
      <c r="AM81" s="2300"/>
      <c r="AN81" s="2443">
        <v>1</v>
      </c>
      <c r="AO81" s="2363"/>
      <c r="AP81" s="2364" t="s">
        <v>62</v>
      </c>
      <c r="AQ81" s="689" t="s">
        <v>253</v>
      </c>
      <c r="AR81" s="2443" t="s">
        <v>91</v>
      </c>
      <c r="AS81" s="2582" t="s">
        <v>530</v>
      </c>
      <c r="AT81" s="757"/>
      <c r="AU81" s="1263"/>
      <c r="AV81" s="757"/>
      <c r="AW81" s="1263">
        <v>9347.82</v>
      </c>
      <c r="AX81" s="2608">
        <v>46023.61523148148</v>
      </c>
      <c r="AY81" s="2113" t="s">
        <v>62</v>
      </c>
      <c r="AZ81" s="2608">
        <v>46387.62664351852</v>
      </c>
      <c r="BA81" s="2113" t="s">
        <v>62</v>
      </c>
      <c r="BB81" s="1354"/>
      <c r="BC81" s="2259" t="s">
        <v>514</v>
      </c>
      <c r="BD81" s="1648"/>
      <c r="BE81" s="1630"/>
      <c r="BF81" s="1630" t="str">
        <f>IF(T81="","",T81)</f>
        <v/>
      </c>
      <c r="BG81" s="1630"/>
      <c r="BH81" s="1630"/>
      <c r="BI81" s="1641">
        <v>0</v>
      </c>
    </row>
    <row customHeight="1" ht="14.25">
      <c r="A82" s="1369"/>
      <c r="B82" s="1369"/>
      <c r="C82" s="1369"/>
      <c r="D82" s="1369"/>
      <c r="E82" s="2265"/>
      <c r="F82" s="2265"/>
      <c r="G82" s="2265"/>
      <c r="H82" s="2265"/>
      <c r="I82" s="2292"/>
      <c r="J82" s="2292"/>
      <c r="K82" s="2262" t="str">
        <f>S78&amp;".1"</f>
        <v>.1</v>
      </c>
      <c r="L82" s="1375"/>
      <c r="M82" s="1782"/>
      <c r="N82" s="1782"/>
      <c r="O82" s="1782"/>
      <c r="P82" s="2380"/>
      <c r="Q82" s="2380"/>
      <c r="R82" s="2353">
        <v>1</v>
      </c>
      <c r="S82" s="2347" t="str">
        <f>$K82</f>
        <v>.1</v>
      </c>
      <c r="T82" s="2366"/>
      <c r="U82" s="306"/>
      <c r="V82" s="757"/>
      <c r="W82" s="1263"/>
      <c r="X82" s="757"/>
      <c r="Y82" s="1263"/>
      <c r="Z82" s="2608"/>
      <c r="AA82" s="2113" t="s">
        <v>62</v>
      </c>
      <c r="AB82" s="2608"/>
      <c r="AC82" s="2113" t="s">
        <v>62</v>
      </c>
      <c r="AD82" s="2191" t="s">
        <v>62</v>
      </c>
      <c r="AE82" s="2332"/>
      <c r="AF82" s="2443">
        <v>1</v>
      </c>
      <c r="AG82" s="2369"/>
      <c r="AH82" s="2113" t="s">
        <v>62</v>
      </c>
      <c r="AI82" s="2332"/>
      <c r="AJ82" s="2443">
        <v>1</v>
      </c>
      <c r="AK82" s="2333" t="s">
        <v>28</v>
      </c>
      <c r="AL82" s="2113" t="s">
        <v>62</v>
      </c>
      <c r="AM82" s="2300"/>
      <c r="AN82" s="2443">
        <v>1</v>
      </c>
      <c r="AO82" s="2363"/>
      <c r="AP82" s="2364" t="s">
        <v>62</v>
      </c>
      <c r="AQ82" s="689" t="s">
        <v>253</v>
      </c>
      <c r="AR82" s="2443" t="s">
        <v>92</v>
      </c>
      <c r="AS82" s="2582" t="s">
        <v>530</v>
      </c>
      <c r="AT82" s="757"/>
      <c r="AU82" s="1263"/>
      <c r="AV82" s="757"/>
      <c r="AW82" s="1263">
        <v>12957.21</v>
      </c>
      <c r="AX82" s="2608">
        <v>46023.615266203706</v>
      </c>
      <c r="AY82" s="2113" t="s">
        <v>62</v>
      </c>
      <c r="AZ82" s="2608">
        <v>46387.62673611111</v>
      </c>
      <c r="BA82" s="2113" t="s">
        <v>62</v>
      </c>
      <c r="BB82" s="1354"/>
      <c r="BC82" s="2259" t="s">
        <v>514</v>
      </c>
      <c r="BD82" s="1648"/>
      <c r="BE82" s="1630"/>
      <c r="BF82" s="1630" t="str">
        <f>IF(T82="","",T82)</f>
        <v/>
      </c>
      <c r="BG82" s="1630"/>
      <c r="BH82" s="1630"/>
      <c r="BI82" s="1641">
        <v>0</v>
      </c>
    </row>
    <row customHeight="1" ht="14.25">
      <c r="A83" s="1369"/>
      <c r="B83" s="1369"/>
      <c r="C83" s="1369"/>
      <c r="D83" s="1369"/>
      <c r="E83" s="2265"/>
      <c r="F83" s="2265"/>
      <c r="G83" s="2265"/>
      <c r="H83" s="2265"/>
      <c r="I83" s="2292"/>
      <c r="J83" s="2292"/>
      <c r="K83" s="2262"/>
      <c r="L83" s="1375"/>
      <c r="M83" s="1782"/>
      <c r="N83" s="1782"/>
      <c r="O83" s="1782"/>
      <c r="P83" s="2380"/>
      <c r="Q83" s="2380"/>
      <c r="R83" s="2353"/>
      <c r="S83" s="2348"/>
      <c r="T83" s="2367"/>
      <c r="U83" s="306"/>
      <c r="V83" s="3163"/>
      <c r="W83" s="3164"/>
      <c r="X83" s="3165"/>
      <c r="Y83" s="3166"/>
      <c r="Z83" s="3167"/>
      <c r="AA83" s="3168"/>
      <c r="AB83" s="3169"/>
      <c r="AC83" s="3170"/>
      <c r="AD83" s="2192"/>
      <c r="AE83" s="2332"/>
      <c r="AF83" s="2443"/>
      <c r="AG83" s="2369"/>
      <c r="AH83" s="2113"/>
      <c r="AI83" s="2332"/>
      <c r="AJ83" s="2443" t="s">
        <v>112</v>
      </c>
      <c r="AK83" s="2333"/>
      <c r="AL83" s="2113"/>
      <c r="AM83" s="2301"/>
      <c r="AN83" s="2443"/>
      <c r="AO83" s="2683" t="s">
        <v>28</v>
      </c>
      <c r="AP83" s="2365"/>
      <c r="AQ83" s="3171"/>
      <c r="AR83" s="3172"/>
      <c r="AS83" s="3173" t="s">
        <v>515</v>
      </c>
      <c r="AT83" s="3174"/>
      <c r="AU83" s="3175"/>
      <c r="AV83" s="3176"/>
      <c r="AW83" s="3177"/>
      <c r="AX83" s="3178"/>
      <c r="AY83" s="3179"/>
      <c r="AZ83" s="3180"/>
      <c r="BA83" s="3181"/>
      <c r="BB83" s="3182"/>
      <c r="BC83" s="2260"/>
      <c r="BD83" s="1648"/>
      <c r="BE83" s="1630"/>
      <c r="BF83" s="1630"/>
      <c r="BG83" s="1630"/>
      <c r="BH83" s="1630"/>
      <c r="BI83" s="1641">
        <v>0</v>
      </c>
    </row>
    <row customHeight="1" ht="14.25">
      <c r="A84" s="1369"/>
      <c r="B84" s="1369"/>
      <c r="C84" s="1369"/>
      <c r="D84" s="1369"/>
      <c r="E84" s="2265"/>
      <c r="F84" s="2265"/>
      <c r="G84" s="2265"/>
      <c r="H84" s="2265"/>
      <c r="I84" s="2292"/>
      <c r="J84" s="2292"/>
      <c r="K84" s="2262"/>
      <c r="L84" s="1375"/>
      <c r="M84" s="1782"/>
      <c r="N84" s="1782"/>
      <c r="O84" s="1782"/>
      <c r="P84" s="2380"/>
      <c r="Q84" s="2380"/>
      <c r="R84" s="2353"/>
      <c r="S84" s="2348"/>
      <c r="T84" s="2367"/>
      <c r="U84" s="306"/>
      <c r="V84" s="3183"/>
      <c r="W84" s="3184"/>
      <c r="X84" s="3185"/>
      <c r="Y84" s="3186"/>
      <c r="Z84" s="3187"/>
      <c r="AA84" s="3188"/>
      <c r="AB84" s="3189"/>
      <c r="AC84" s="3190"/>
      <c r="AD84" s="2192"/>
      <c r="AE84" s="2332"/>
      <c r="AF84" s="2443"/>
      <c r="AG84" s="2369"/>
      <c r="AH84" s="2113"/>
      <c r="AI84" s="2332"/>
      <c r="AJ84" s="2443" t="s">
        <v>112</v>
      </c>
      <c r="AK84" s="2333"/>
      <c r="AL84" s="2113"/>
      <c r="AM84" s="3191"/>
      <c r="AN84" s="3192"/>
      <c r="AO84" s="3193" t="s">
        <v>516</v>
      </c>
      <c r="AP84" s="3194"/>
      <c r="AQ84" s="3195"/>
      <c r="AR84" s="3196"/>
      <c r="AS84" s="3197"/>
      <c r="AT84" s="3198"/>
      <c r="AU84" s="3199"/>
      <c r="AV84" s="3200"/>
      <c r="AW84" s="3201"/>
      <c r="AX84" s="3202"/>
      <c r="AY84" s="3203"/>
      <c r="AZ84" s="3204"/>
      <c r="BA84" s="3205"/>
      <c r="BB84" s="3206"/>
      <c r="BC84" s="2260"/>
      <c r="BD84" s="1648"/>
      <c r="BE84" s="1630"/>
      <c r="BF84" s="1630"/>
      <c r="BG84" s="1630"/>
      <c r="BH84" s="1630"/>
      <c r="BI84" s="1641">
        <v>0</v>
      </c>
    </row>
    <row customHeight="1" ht="14.25">
      <c r="A85" s="1369"/>
      <c r="B85" s="1369"/>
      <c r="C85" s="1369"/>
      <c r="D85" s="1369"/>
      <c r="E85" s="2265"/>
      <c r="F85" s="2265"/>
      <c r="G85" s="2265"/>
      <c r="H85" s="2265"/>
      <c r="I85" s="2292"/>
      <c r="J85" s="2292"/>
      <c r="K85" s="2262" t="str">
        <f>S81&amp;".1"</f>
        <v>.1.1</v>
      </c>
      <c r="L85" s="1375"/>
      <c r="M85" s="1782"/>
      <c r="N85" s="1782"/>
      <c r="O85" s="1782"/>
      <c r="P85" s="2380"/>
      <c r="Q85" s="2380"/>
      <c r="R85" s="2353">
        <v>1</v>
      </c>
      <c r="S85" s="2347" t="str">
        <f>$K85</f>
        <v>.1.1</v>
      </c>
      <c r="T85" s="2366"/>
      <c r="U85" s="306"/>
      <c r="V85" s="757"/>
      <c r="W85" s="1263"/>
      <c r="X85" s="757"/>
      <c r="Y85" s="1263"/>
      <c r="Z85" s="2608"/>
      <c r="AA85" s="2113" t="s">
        <v>62</v>
      </c>
      <c r="AB85" s="2608"/>
      <c r="AC85" s="2113" t="s">
        <v>62</v>
      </c>
      <c r="AD85" s="2191" t="s">
        <v>62</v>
      </c>
      <c r="AE85" s="2332"/>
      <c r="AF85" s="2443">
        <v>1</v>
      </c>
      <c r="AG85" s="2369"/>
      <c r="AH85" s="2113" t="s">
        <v>62</v>
      </c>
      <c r="AI85" s="689" t="s">
        <v>253</v>
      </c>
      <c r="AJ85" s="2443" t="s">
        <v>92</v>
      </c>
      <c r="AK85" s="2333" t="s">
        <v>535</v>
      </c>
      <c r="AL85" s="2113" t="s">
        <v>19</v>
      </c>
      <c r="AM85" s="2300"/>
      <c r="AN85" s="2443">
        <v>1</v>
      </c>
      <c r="AO85" s="2683" t="s">
        <v>28</v>
      </c>
      <c r="AP85" s="2364" t="s">
        <v>62</v>
      </c>
      <c r="AQ85" s="317"/>
      <c r="AR85" s="2443">
        <v>1</v>
      </c>
      <c r="AS85" s="2582" t="s">
        <v>530</v>
      </c>
      <c r="AT85" s="757"/>
      <c r="AU85" s="1263"/>
      <c r="AV85" s="757"/>
      <c r="AW85" s="1263">
        <v>11004.58</v>
      </c>
      <c r="AX85" s="2608">
        <v>46023.61528935185</v>
      </c>
      <c r="AY85" s="2113" t="s">
        <v>62</v>
      </c>
      <c r="AZ85" s="2608">
        <v>46387.62681712963</v>
      </c>
      <c r="BA85" s="2113" t="s">
        <v>62</v>
      </c>
      <c r="BB85" s="1354"/>
      <c r="BC85" s="2259" t="s">
        <v>514</v>
      </c>
      <c r="BD85" s="1648"/>
      <c r="BE85" s="1630"/>
      <c r="BF85" s="1630" t="str">
        <f>IF(T85="","",T85)</f>
        <v/>
      </c>
      <c r="BG85" s="1630"/>
      <c r="BH85" s="1630"/>
      <c r="BI85" s="1641">
        <v>0</v>
      </c>
    </row>
    <row customHeight="1" ht="14.25">
      <c r="A86" s="1369"/>
      <c r="B86" s="1369"/>
      <c r="C86" s="1369"/>
      <c r="D86" s="1369"/>
      <c r="E86" s="2265"/>
      <c r="F86" s="2265"/>
      <c r="G86" s="2265"/>
      <c r="H86" s="2265"/>
      <c r="I86" s="2292"/>
      <c r="J86" s="2292"/>
      <c r="K86" s="2262" t="str">
        <f>S82&amp;".1"</f>
        <v>.1.1</v>
      </c>
      <c r="L86" s="1375"/>
      <c r="M86" s="1782"/>
      <c r="N86" s="1782"/>
      <c r="O86" s="1782"/>
      <c r="P86" s="2380"/>
      <c r="Q86" s="2380"/>
      <c r="R86" s="2353">
        <v>1</v>
      </c>
      <c r="S86" s="2347" t="str">
        <f>$K86</f>
        <v>.1.1</v>
      </c>
      <c r="T86" s="2366"/>
      <c r="U86" s="306"/>
      <c r="V86" s="757"/>
      <c r="W86" s="1263"/>
      <c r="X86" s="757"/>
      <c r="Y86" s="1263"/>
      <c r="Z86" s="2608"/>
      <c r="AA86" s="2113" t="s">
        <v>62</v>
      </c>
      <c r="AB86" s="2608"/>
      <c r="AC86" s="2113" t="s">
        <v>62</v>
      </c>
      <c r="AD86" s="2191" t="s">
        <v>62</v>
      </c>
      <c r="AE86" s="2332"/>
      <c r="AF86" s="2443">
        <v>1</v>
      </c>
      <c r="AG86" s="2369"/>
      <c r="AH86" s="2113" t="s">
        <v>62</v>
      </c>
      <c r="AI86" s="2332"/>
      <c r="AJ86" s="2443">
        <v>1</v>
      </c>
      <c r="AK86" s="2333" t="s">
        <v>28</v>
      </c>
      <c r="AL86" s="2113" t="s">
        <v>62</v>
      </c>
      <c r="AM86" s="2300"/>
      <c r="AN86" s="2443">
        <v>1</v>
      </c>
      <c r="AO86" s="2363"/>
      <c r="AP86" s="2364" t="s">
        <v>62</v>
      </c>
      <c r="AQ86" s="689" t="s">
        <v>253</v>
      </c>
      <c r="AR86" s="2443" t="s">
        <v>112</v>
      </c>
      <c r="AS86" s="2582" t="s">
        <v>530</v>
      </c>
      <c r="AT86" s="757"/>
      <c r="AU86" s="1263"/>
      <c r="AV86" s="757"/>
      <c r="AW86" s="1263">
        <v>14636.39</v>
      </c>
      <c r="AX86" s="2608">
        <v>46023.61539351852</v>
      </c>
      <c r="AY86" s="2113" t="s">
        <v>62</v>
      </c>
      <c r="AZ86" s="2608">
        <v>46387.626921296294</v>
      </c>
      <c r="BA86" s="2113" t="s">
        <v>62</v>
      </c>
      <c r="BB86" s="1354"/>
      <c r="BC86" s="2259" t="s">
        <v>514</v>
      </c>
      <c r="BD86" s="1648"/>
      <c r="BE86" s="1630"/>
      <c r="BF86" s="1630" t="str">
        <f>IF(T86="","",T86)</f>
        <v/>
      </c>
      <c r="BG86" s="1630"/>
      <c r="BH86" s="1630"/>
      <c r="BI86" s="1641">
        <v>0</v>
      </c>
    </row>
    <row customHeight="1" ht="14.25">
      <c r="A87" s="1369"/>
      <c r="B87" s="1369"/>
      <c r="C87" s="1369"/>
      <c r="D87" s="1369"/>
      <c r="E87" s="2265"/>
      <c r="F87" s="2265"/>
      <c r="G87" s="2265"/>
      <c r="H87" s="2265"/>
      <c r="I87" s="2292"/>
      <c r="J87" s="2292"/>
      <c r="K87" s="2262" t="str">
        <f>S83&amp;".1"</f>
        <v>.1</v>
      </c>
      <c r="L87" s="1375"/>
      <c r="M87" s="1782"/>
      <c r="N87" s="1782"/>
      <c r="O87" s="1782"/>
      <c r="P87" s="2380"/>
      <c r="Q87" s="2380"/>
      <c r="R87" s="2353">
        <v>1</v>
      </c>
      <c r="S87" s="2347" t="str">
        <f>$K87</f>
        <v>.1</v>
      </c>
      <c r="T87" s="2366"/>
      <c r="U87" s="306"/>
      <c r="V87" s="757"/>
      <c r="W87" s="1263"/>
      <c r="X87" s="757"/>
      <c r="Y87" s="1263"/>
      <c r="Z87" s="2608"/>
      <c r="AA87" s="2113" t="s">
        <v>62</v>
      </c>
      <c r="AB87" s="2608"/>
      <c r="AC87" s="2113" t="s">
        <v>62</v>
      </c>
      <c r="AD87" s="2191" t="s">
        <v>62</v>
      </c>
      <c r="AE87" s="2332"/>
      <c r="AF87" s="2443">
        <v>1</v>
      </c>
      <c r="AG87" s="2369"/>
      <c r="AH87" s="2113" t="s">
        <v>62</v>
      </c>
      <c r="AI87" s="2332"/>
      <c r="AJ87" s="2443">
        <v>1</v>
      </c>
      <c r="AK87" s="2333" t="s">
        <v>28</v>
      </c>
      <c r="AL87" s="2113" t="s">
        <v>62</v>
      </c>
      <c r="AM87" s="2300"/>
      <c r="AN87" s="2443">
        <v>1</v>
      </c>
      <c r="AO87" s="2363"/>
      <c r="AP87" s="2364" t="s">
        <v>62</v>
      </c>
      <c r="AQ87" s="689" t="s">
        <v>253</v>
      </c>
      <c r="AR87" s="2443" t="s">
        <v>91</v>
      </c>
      <c r="AS87" s="2582" t="s">
        <v>530</v>
      </c>
      <c r="AT87" s="757"/>
      <c r="AU87" s="1263"/>
      <c r="AV87" s="757"/>
      <c r="AW87" s="1263">
        <v>11301.96</v>
      </c>
      <c r="AX87" s="2608">
        <v>46023.615428240744</v>
      </c>
      <c r="AY87" s="2113" t="s">
        <v>62</v>
      </c>
      <c r="AZ87" s="2608">
        <v>46387.62701388889</v>
      </c>
      <c r="BA87" s="2113" t="s">
        <v>62</v>
      </c>
      <c r="BB87" s="1354"/>
      <c r="BC87" s="2259" t="s">
        <v>514</v>
      </c>
      <c r="BD87" s="1648"/>
      <c r="BE87" s="1630"/>
      <c r="BF87" s="1630" t="str">
        <f>IF(T87="","",T87)</f>
        <v/>
      </c>
      <c r="BG87" s="1630"/>
      <c r="BH87" s="1630"/>
      <c r="BI87" s="1641">
        <v>0</v>
      </c>
    </row>
    <row customHeight="1" ht="14.25">
      <c r="A88" s="1369"/>
      <c r="B88" s="1369"/>
      <c r="C88" s="1369"/>
      <c r="D88" s="1369"/>
      <c r="E88" s="2265"/>
      <c r="F88" s="2265"/>
      <c r="G88" s="2265"/>
      <c r="H88" s="2265"/>
      <c r="I88" s="2292"/>
      <c r="J88" s="2292"/>
      <c r="K88" s="2262" t="str">
        <f>S84&amp;".1"</f>
        <v>.1</v>
      </c>
      <c r="L88" s="1375"/>
      <c r="M88" s="1782"/>
      <c r="N88" s="1782"/>
      <c r="O88" s="1782"/>
      <c r="P88" s="2380"/>
      <c r="Q88" s="2380"/>
      <c r="R88" s="2353">
        <v>1</v>
      </c>
      <c r="S88" s="2347" t="str">
        <f>$K88</f>
        <v>.1</v>
      </c>
      <c r="T88" s="2366"/>
      <c r="U88" s="306"/>
      <c r="V88" s="757"/>
      <c r="W88" s="1263"/>
      <c r="X88" s="757"/>
      <c r="Y88" s="1263"/>
      <c r="Z88" s="2608"/>
      <c r="AA88" s="2113" t="s">
        <v>62</v>
      </c>
      <c r="AB88" s="2608"/>
      <c r="AC88" s="2113" t="s">
        <v>62</v>
      </c>
      <c r="AD88" s="2191" t="s">
        <v>62</v>
      </c>
      <c r="AE88" s="2332"/>
      <c r="AF88" s="2443">
        <v>1</v>
      </c>
      <c r="AG88" s="2369"/>
      <c r="AH88" s="2113" t="s">
        <v>62</v>
      </c>
      <c r="AI88" s="2332"/>
      <c r="AJ88" s="2443">
        <v>1</v>
      </c>
      <c r="AK88" s="2333" t="s">
        <v>28</v>
      </c>
      <c r="AL88" s="2113" t="s">
        <v>62</v>
      </c>
      <c r="AM88" s="2300"/>
      <c r="AN88" s="2443">
        <v>1</v>
      </c>
      <c r="AO88" s="2363"/>
      <c r="AP88" s="2364" t="s">
        <v>62</v>
      </c>
      <c r="AQ88" s="689" t="s">
        <v>253</v>
      </c>
      <c r="AR88" s="2443" t="s">
        <v>92</v>
      </c>
      <c r="AS88" s="2582" t="s">
        <v>530</v>
      </c>
      <c r="AT88" s="757"/>
      <c r="AU88" s="1263"/>
      <c r="AV88" s="757"/>
      <c r="AW88" s="1263">
        <v>14959.02</v>
      </c>
      <c r="AX88" s="2608">
        <v>46023.61546296296</v>
      </c>
      <c r="AY88" s="2113" t="s">
        <v>62</v>
      </c>
      <c r="AZ88" s="2608">
        <v>46387.62709490741</v>
      </c>
      <c r="BA88" s="2113" t="s">
        <v>62</v>
      </c>
      <c r="BB88" s="1354"/>
      <c r="BC88" s="2259" t="s">
        <v>514</v>
      </c>
      <c r="BD88" s="1648"/>
      <c r="BE88" s="1630"/>
      <c r="BF88" s="1630" t="str">
        <f>IF(T88="","",T88)</f>
        <v/>
      </c>
      <c r="BG88" s="1630"/>
      <c r="BH88" s="1630"/>
      <c r="BI88" s="1641">
        <v>0</v>
      </c>
    </row>
    <row customHeight="1" ht="14.25">
      <c r="A89" s="1369"/>
      <c r="B89" s="1369"/>
      <c r="C89" s="1369"/>
      <c r="D89" s="1369"/>
      <c r="E89" s="2265"/>
      <c r="F89" s="2265"/>
      <c r="G89" s="2265"/>
      <c r="H89" s="2265"/>
      <c r="I89" s="2292"/>
      <c r="J89" s="2292"/>
      <c r="K89" s="2262"/>
      <c r="L89" s="1375"/>
      <c r="M89" s="1782"/>
      <c r="N89" s="1782"/>
      <c r="O89" s="1782"/>
      <c r="P89" s="2380"/>
      <c r="Q89" s="2380"/>
      <c r="R89" s="2353"/>
      <c r="S89" s="2348"/>
      <c r="T89" s="2367"/>
      <c r="U89" s="306"/>
      <c r="V89" s="3207"/>
      <c r="W89" s="3208"/>
      <c r="X89" s="3209"/>
      <c r="Y89" s="3210"/>
      <c r="Z89" s="3211"/>
      <c r="AA89" s="3212"/>
      <c r="AB89" s="3213"/>
      <c r="AC89" s="3214"/>
      <c r="AD89" s="2192"/>
      <c r="AE89" s="2332"/>
      <c r="AF89" s="2443"/>
      <c r="AG89" s="2369"/>
      <c r="AH89" s="2113"/>
      <c r="AI89" s="2332"/>
      <c r="AJ89" s="2443" t="s">
        <v>91</v>
      </c>
      <c r="AK89" s="2333"/>
      <c r="AL89" s="2113"/>
      <c r="AM89" s="2301"/>
      <c r="AN89" s="2443"/>
      <c r="AO89" s="2683" t="s">
        <v>28</v>
      </c>
      <c r="AP89" s="2365"/>
      <c r="AQ89" s="3215"/>
      <c r="AR89" s="3216"/>
      <c r="AS89" s="3217" t="s">
        <v>515</v>
      </c>
      <c r="AT89" s="3218"/>
      <c r="AU89" s="3219"/>
      <c r="AV89" s="3220"/>
      <c r="AW89" s="3221"/>
      <c r="AX89" s="3222"/>
      <c r="AY89" s="3223"/>
      <c r="AZ89" s="3224"/>
      <c r="BA89" s="3225"/>
      <c r="BB89" s="3226"/>
      <c r="BC89" s="2260"/>
      <c r="BD89" s="1648"/>
      <c r="BE89" s="1630"/>
      <c r="BF89" s="1630"/>
      <c r="BG89" s="1630"/>
      <c r="BH89" s="1630"/>
      <c r="BI89" s="1641">
        <v>0</v>
      </c>
    </row>
    <row customHeight="1" ht="14.25">
      <c r="A90" s="1369"/>
      <c r="B90" s="1369"/>
      <c r="C90" s="1369"/>
      <c r="D90" s="1369"/>
      <c r="E90" s="2265"/>
      <c r="F90" s="2265"/>
      <c r="G90" s="2265"/>
      <c r="H90" s="2265"/>
      <c r="I90" s="2292"/>
      <c r="J90" s="2292"/>
      <c r="K90" s="2262"/>
      <c r="L90" s="1375"/>
      <c r="M90" s="1782"/>
      <c r="N90" s="1782"/>
      <c r="O90" s="1782"/>
      <c r="P90" s="2380"/>
      <c r="Q90" s="2380"/>
      <c r="R90" s="2353"/>
      <c r="S90" s="2348"/>
      <c r="T90" s="2367"/>
      <c r="U90" s="306"/>
      <c r="V90" s="3227"/>
      <c r="W90" s="3228"/>
      <c r="X90" s="3229"/>
      <c r="Y90" s="3230"/>
      <c r="Z90" s="3231"/>
      <c r="AA90" s="3232"/>
      <c r="AB90" s="3233"/>
      <c r="AC90" s="3234"/>
      <c r="AD90" s="2192"/>
      <c r="AE90" s="2332"/>
      <c r="AF90" s="2443"/>
      <c r="AG90" s="2369"/>
      <c r="AH90" s="2113"/>
      <c r="AI90" s="2332"/>
      <c r="AJ90" s="2443" t="s">
        <v>91</v>
      </c>
      <c r="AK90" s="2333"/>
      <c r="AL90" s="2113"/>
      <c r="AM90" s="3235"/>
      <c r="AN90" s="3236"/>
      <c r="AO90" s="3237" t="s">
        <v>516</v>
      </c>
      <c r="AP90" s="3238"/>
      <c r="AQ90" s="3239"/>
      <c r="AR90" s="3240"/>
      <c r="AS90" s="3241"/>
      <c r="AT90" s="3242"/>
      <c r="AU90" s="3243"/>
      <c r="AV90" s="3244"/>
      <c r="AW90" s="3245"/>
      <c r="AX90" s="3246"/>
      <c r="AY90" s="3247"/>
      <c r="AZ90" s="3248"/>
      <c r="BA90" s="3249"/>
      <c r="BB90" s="3250"/>
      <c r="BC90" s="2260"/>
      <c r="BD90" s="1648"/>
      <c r="BE90" s="1630"/>
      <c r="BF90" s="1630"/>
      <c r="BG90" s="1630"/>
      <c r="BH90" s="1630"/>
      <c r="BI90" s="1641">
        <v>0</v>
      </c>
    </row>
    <row customHeight="1" ht="14.25">
      <c r="A91" s="1369"/>
      <c r="B91" s="1369"/>
      <c r="C91" s="1369"/>
      <c r="D91" s="1369"/>
      <c r="E91" s="2265"/>
      <c r="F91" s="2265"/>
      <c r="G91" s="2265"/>
      <c r="H91" s="2265"/>
      <c r="I91" s="2292"/>
      <c r="J91" s="2292"/>
      <c r="K91" s="2262" t="str">
        <f>S87&amp;".1"</f>
        <v>.1.1</v>
      </c>
      <c r="L91" s="1375"/>
      <c r="M91" s="1782"/>
      <c r="N91" s="1782"/>
      <c r="O91" s="1782"/>
      <c r="P91" s="2380"/>
      <c r="Q91" s="2380"/>
      <c r="R91" s="2353">
        <v>1</v>
      </c>
      <c r="S91" s="2347" t="str">
        <f>$K91</f>
        <v>.1.1</v>
      </c>
      <c r="T91" s="2366"/>
      <c r="U91" s="306"/>
      <c r="V91" s="757"/>
      <c r="W91" s="1263"/>
      <c r="X91" s="757"/>
      <c r="Y91" s="1263"/>
      <c r="Z91" s="2608"/>
      <c r="AA91" s="2113" t="s">
        <v>62</v>
      </c>
      <c r="AB91" s="2608"/>
      <c r="AC91" s="2113" t="s">
        <v>62</v>
      </c>
      <c r="AD91" s="2191" t="s">
        <v>62</v>
      </c>
      <c r="AE91" s="2332"/>
      <c r="AF91" s="2443">
        <v>1</v>
      </c>
      <c r="AG91" s="2369"/>
      <c r="AH91" s="2113" t="s">
        <v>62</v>
      </c>
      <c r="AI91" s="689" t="s">
        <v>253</v>
      </c>
      <c r="AJ91" s="2443" t="s">
        <v>113</v>
      </c>
      <c r="AK91" s="2333" t="s">
        <v>536</v>
      </c>
      <c r="AL91" s="2113" t="s">
        <v>19</v>
      </c>
      <c r="AM91" s="2300"/>
      <c r="AN91" s="2443">
        <v>1</v>
      </c>
      <c r="AO91" s="2683" t="s">
        <v>28</v>
      </c>
      <c r="AP91" s="2364" t="s">
        <v>62</v>
      </c>
      <c r="AQ91" s="317"/>
      <c r="AR91" s="2443">
        <v>1</v>
      </c>
      <c r="AS91" s="2582" t="s">
        <v>530</v>
      </c>
      <c r="AT91" s="757"/>
      <c r="AU91" s="1263"/>
      <c r="AV91" s="757"/>
      <c r="AW91" s="1263">
        <v>14681.13</v>
      </c>
      <c r="AX91" s="2608">
        <v>46023.615532407406</v>
      </c>
      <c r="AY91" s="2113" t="s">
        <v>62</v>
      </c>
      <c r="AZ91" s="2608">
        <v>46387.6271875</v>
      </c>
      <c r="BA91" s="2113" t="s">
        <v>62</v>
      </c>
      <c r="BB91" s="1354"/>
      <c r="BC91" s="2259" t="s">
        <v>514</v>
      </c>
      <c r="BD91" s="1648"/>
      <c r="BE91" s="1630"/>
      <c r="BF91" s="1630" t="str">
        <f>IF(T91="","",T91)</f>
        <v/>
      </c>
      <c r="BG91" s="1630"/>
      <c r="BH91" s="1630"/>
      <c r="BI91" s="1641">
        <v>0</v>
      </c>
    </row>
    <row customHeight="1" ht="14.25">
      <c r="A92" s="1369"/>
      <c r="B92" s="1369"/>
      <c r="C92" s="1369"/>
      <c r="D92" s="1369"/>
      <c r="E92" s="2265"/>
      <c r="F92" s="2265"/>
      <c r="G92" s="2265"/>
      <c r="H92" s="2265"/>
      <c r="I92" s="2292"/>
      <c r="J92" s="2292"/>
      <c r="K92" s="2262" t="str">
        <f>S88&amp;".1"</f>
        <v>.1.1</v>
      </c>
      <c r="L92" s="1375"/>
      <c r="M92" s="1782"/>
      <c r="N92" s="1782"/>
      <c r="O92" s="1782"/>
      <c r="P92" s="2380"/>
      <c r="Q92" s="2380"/>
      <c r="R92" s="2353">
        <v>1</v>
      </c>
      <c r="S92" s="2347" t="str">
        <f>$K92</f>
        <v>.1.1</v>
      </c>
      <c r="T92" s="2366"/>
      <c r="U92" s="306"/>
      <c r="V92" s="757"/>
      <c r="W92" s="1263"/>
      <c r="X92" s="757"/>
      <c r="Y92" s="1263"/>
      <c r="Z92" s="2608"/>
      <c r="AA92" s="2113" t="s">
        <v>62</v>
      </c>
      <c r="AB92" s="2608"/>
      <c r="AC92" s="2113" t="s">
        <v>62</v>
      </c>
      <c r="AD92" s="2191" t="s">
        <v>62</v>
      </c>
      <c r="AE92" s="2332"/>
      <c r="AF92" s="2443">
        <v>1</v>
      </c>
      <c r="AG92" s="2369"/>
      <c r="AH92" s="2113" t="s">
        <v>62</v>
      </c>
      <c r="AI92" s="2332"/>
      <c r="AJ92" s="2443">
        <v>1</v>
      </c>
      <c r="AK92" s="2333" t="s">
        <v>28</v>
      </c>
      <c r="AL92" s="2113" t="s">
        <v>62</v>
      </c>
      <c r="AM92" s="2300"/>
      <c r="AN92" s="2443">
        <v>1</v>
      </c>
      <c r="AO92" s="2363"/>
      <c r="AP92" s="2364" t="s">
        <v>62</v>
      </c>
      <c r="AQ92" s="689" t="s">
        <v>253</v>
      </c>
      <c r="AR92" s="2443" t="s">
        <v>112</v>
      </c>
      <c r="AS92" s="2582" t="s">
        <v>530</v>
      </c>
      <c r="AT92" s="757"/>
      <c r="AU92" s="1263"/>
      <c r="AV92" s="757"/>
      <c r="AW92" s="1263">
        <v>18390.02</v>
      </c>
      <c r="AX92" s="2608">
        <v>46023.61556712963</v>
      </c>
      <c r="AY92" s="2113" t="s">
        <v>62</v>
      </c>
      <c r="AZ92" s="2608">
        <v>46387.627337962964</v>
      </c>
      <c r="BA92" s="2113" t="s">
        <v>62</v>
      </c>
      <c r="BB92" s="1354"/>
      <c r="BC92" s="2259" t="s">
        <v>514</v>
      </c>
      <c r="BD92" s="1648"/>
      <c r="BE92" s="1630"/>
      <c r="BF92" s="1630" t="str">
        <f>IF(T92="","",T92)</f>
        <v/>
      </c>
      <c r="BG92" s="1630"/>
      <c r="BH92" s="1630"/>
      <c r="BI92" s="1641">
        <v>0</v>
      </c>
    </row>
    <row customHeight="1" ht="14.25">
      <c r="A93" s="1369"/>
      <c r="B93" s="1369"/>
      <c r="C93" s="1369"/>
      <c r="D93" s="1369"/>
      <c r="E93" s="2265"/>
      <c r="F93" s="2265"/>
      <c r="G93" s="2265"/>
      <c r="H93" s="2265"/>
      <c r="I93" s="2292"/>
      <c r="J93" s="2292"/>
      <c r="K93" s="2262"/>
      <c r="L93" s="1375"/>
      <c r="M93" s="1782"/>
      <c r="N93" s="1782"/>
      <c r="O93" s="1782"/>
      <c r="P93" s="2380"/>
      <c r="Q93" s="2380"/>
      <c r="R93" s="2353"/>
      <c r="S93" s="2348"/>
      <c r="T93" s="2367"/>
      <c r="U93" s="306"/>
      <c r="V93" s="3251"/>
      <c r="W93" s="3252"/>
      <c r="X93" s="3253"/>
      <c r="Y93" s="3254"/>
      <c r="Z93" s="3255"/>
      <c r="AA93" s="3256"/>
      <c r="AB93" s="3257"/>
      <c r="AC93" s="3258"/>
      <c r="AD93" s="2192"/>
      <c r="AE93" s="2332"/>
      <c r="AF93" s="2443"/>
      <c r="AG93" s="2369"/>
      <c r="AH93" s="2113"/>
      <c r="AI93" s="2332"/>
      <c r="AJ93" s="2443" t="s">
        <v>92</v>
      </c>
      <c r="AK93" s="2333"/>
      <c r="AL93" s="2113"/>
      <c r="AM93" s="2301"/>
      <c r="AN93" s="2443"/>
      <c r="AO93" s="2683" t="s">
        <v>28</v>
      </c>
      <c r="AP93" s="2365"/>
      <c r="AQ93" s="3259"/>
      <c r="AR93" s="3260"/>
      <c r="AS93" s="3261" t="s">
        <v>515</v>
      </c>
      <c r="AT93" s="3262"/>
      <c r="AU93" s="3263"/>
      <c r="AV93" s="3264"/>
      <c r="AW93" s="3265"/>
      <c r="AX93" s="3266"/>
      <c r="AY93" s="3267"/>
      <c r="AZ93" s="3268"/>
      <c r="BA93" s="3269"/>
      <c r="BB93" s="3270"/>
      <c r="BC93" s="2260"/>
      <c r="BD93" s="1648"/>
      <c r="BE93" s="1630"/>
      <c r="BF93" s="1630"/>
      <c r="BG93" s="1630"/>
      <c r="BH93" s="1630"/>
      <c r="BI93" s="1641">
        <v>0</v>
      </c>
    </row>
    <row customHeight="1" ht="14.25">
      <c r="A94" s="1369"/>
      <c r="B94" s="1369"/>
      <c r="C94" s="1369"/>
      <c r="D94" s="1369"/>
      <c r="E94" s="2265"/>
      <c r="F94" s="2265"/>
      <c r="G94" s="2265"/>
      <c r="H94" s="2265"/>
      <c r="I94" s="2292"/>
      <c r="J94" s="2292"/>
      <c r="K94" s="2262"/>
      <c r="L94" s="1375"/>
      <c r="M94" s="1782"/>
      <c r="N94" s="1782"/>
      <c r="O94" s="1782"/>
      <c r="P94" s="2380"/>
      <c r="Q94" s="2380"/>
      <c r="R94" s="2353"/>
      <c r="S94" s="2348"/>
      <c r="T94" s="2367"/>
      <c r="U94" s="306"/>
      <c r="V94" s="3271"/>
      <c r="W94" s="3272"/>
      <c r="X94" s="3273"/>
      <c r="Y94" s="3274"/>
      <c r="Z94" s="3275"/>
      <c r="AA94" s="3276"/>
      <c r="AB94" s="3277"/>
      <c r="AC94" s="3278"/>
      <c r="AD94" s="2192"/>
      <c r="AE94" s="2332"/>
      <c r="AF94" s="2443"/>
      <c r="AG94" s="2369"/>
      <c r="AH94" s="2113"/>
      <c r="AI94" s="2332"/>
      <c r="AJ94" s="2443" t="s">
        <v>92</v>
      </c>
      <c r="AK94" s="2333"/>
      <c r="AL94" s="2113"/>
      <c r="AM94" s="3279"/>
      <c r="AN94" s="3280"/>
      <c r="AO94" s="3281" t="s">
        <v>516</v>
      </c>
      <c r="AP94" s="3282"/>
      <c r="AQ94" s="3283"/>
      <c r="AR94" s="3284"/>
      <c r="AS94" s="3285"/>
      <c r="AT94" s="3286"/>
      <c r="AU94" s="3287"/>
      <c r="AV94" s="3288"/>
      <c r="AW94" s="3289"/>
      <c r="AX94" s="3290"/>
      <c r="AY94" s="3291"/>
      <c r="AZ94" s="3292"/>
      <c r="BA94" s="3293"/>
      <c r="BB94" s="3294"/>
      <c r="BC94" s="2260"/>
      <c r="BD94" s="1648"/>
      <c r="BE94" s="1630"/>
      <c r="BF94" s="1630"/>
      <c r="BG94" s="1630"/>
      <c r="BH94" s="1630"/>
      <c r="BI94" s="1641">
        <v>0</v>
      </c>
    </row>
    <row customHeight="1" ht="14.25">
      <c r="A95" s="1369"/>
      <c r="B95" s="1369"/>
      <c r="C95" s="1369"/>
      <c r="D95" s="1369"/>
      <c r="E95" s="2265"/>
      <c r="F95" s="2265"/>
      <c r="G95" s="2265"/>
      <c r="H95" s="2265"/>
      <c r="I95" s="2292"/>
      <c r="J95" s="2292"/>
      <c r="K95" s="2262" t="str">
        <f>S91&amp;".1"</f>
        <v>.1.1.1</v>
      </c>
      <c r="L95" s="1375"/>
      <c r="M95" s="1782"/>
      <c r="N95" s="1782"/>
      <c r="O95" s="1782"/>
      <c r="P95" s="2380"/>
      <c r="Q95" s="2380"/>
      <c r="R95" s="2353">
        <v>1</v>
      </c>
      <c r="S95" s="2347" t="str">
        <f>$K95</f>
        <v>.1.1.1</v>
      </c>
      <c r="T95" s="2366"/>
      <c r="U95" s="306"/>
      <c r="V95" s="757"/>
      <c r="W95" s="1263"/>
      <c r="X95" s="757"/>
      <c r="Y95" s="1263"/>
      <c r="Z95" s="2608"/>
      <c r="AA95" s="2113" t="s">
        <v>62</v>
      </c>
      <c r="AB95" s="2608"/>
      <c r="AC95" s="2113" t="s">
        <v>62</v>
      </c>
      <c r="AD95" s="2191" t="s">
        <v>62</v>
      </c>
      <c r="AE95" s="2332"/>
      <c r="AF95" s="2443">
        <v>1</v>
      </c>
      <c r="AG95" s="2369"/>
      <c r="AH95" s="2113" t="s">
        <v>62</v>
      </c>
      <c r="AI95" s="689" t="s">
        <v>253</v>
      </c>
      <c r="AJ95" s="2443" t="s">
        <v>93</v>
      </c>
      <c r="AK95" s="2333" t="s">
        <v>537</v>
      </c>
      <c r="AL95" s="2113" t="s">
        <v>19</v>
      </c>
      <c r="AM95" s="2300"/>
      <c r="AN95" s="2443">
        <v>1</v>
      </c>
      <c r="AO95" s="2683" t="s">
        <v>28</v>
      </c>
      <c r="AP95" s="2364" t="s">
        <v>62</v>
      </c>
      <c r="AQ95" s="317"/>
      <c r="AR95" s="2443">
        <v>1</v>
      </c>
      <c r="AS95" s="2582" t="s">
        <v>530</v>
      </c>
      <c r="AT95" s="757"/>
      <c r="AU95" s="1263"/>
      <c r="AV95" s="757"/>
      <c r="AW95" s="1263">
        <v>17300.91</v>
      </c>
      <c r="AX95" s="2608">
        <v>46023.61561342593</v>
      </c>
      <c r="AY95" s="2113" t="s">
        <v>62</v>
      </c>
      <c r="AZ95" s="2608">
        <v>46387.627430555556</v>
      </c>
      <c r="BA95" s="2113" t="s">
        <v>62</v>
      </c>
      <c r="BB95" s="1354"/>
      <c r="BC95" s="2259" t="s">
        <v>514</v>
      </c>
      <c r="BD95" s="1648"/>
      <c r="BE95" s="1630"/>
      <c r="BF95" s="1630" t="str">
        <f>IF(T95="","",T95)</f>
        <v/>
      </c>
      <c r="BG95" s="1630"/>
      <c r="BH95" s="1630"/>
      <c r="BI95" s="1641">
        <v>0</v>
      </c>
    </row>
    <row customHeight="1" ht="14.25">
      <c r="A96" s="1369"/>
      <c r="B96" s="1369"/>
      <c r="C96" s="1369"/>
      <c r="D96" s="1369"/>
      <c r="E96" s="2265"/>
      <c r="F96" s="2265"/>
      <c r="G96" s="2265"/>
      <c r="H96" s="2265"/>
      <c r="I96" s="2292"/>
      <c r="J96" s="2292"/>
      <c r="K96" s="2262" t="str">
        <f>S92&amp;".1"</f>
        <v>.1.1.1</v>
      </c>
      <c r="L96" s="1375"/>
      <c r="M96" s="1782"/>
      <c r="N96" s="1782"/>
      <c r="O96" s="1782"/>
      <c r="P96" s="2380"/>
      <c r="Q96" s="2380"/>
      <c r="R96" s="2353">
        <v>1</v>
      </c>
      <c r="S96" s="2347" t="str">
        <f>$K96</f>
        <v>.1.1.1</v>
      </c>
      <c r="T96" s="2366"/>
      <c r="U96" s="306"/>
      <c r="V96" s="757"/>
      <c r="W96" s="1263"/>
      <c r="X96" s="757"/>
      <c r="Y96" s="1263"/>
      <c r="Z96" s="2608"/>
      <c r="AA96" s="2113" t="s">
        <v>62</v>
      </c>
      <c r="AB96" s="2608"/>
      <c r="AC96" s="2113" t="s">
        <v>62</v>
      </c>
      <c r="AD96" s="2191" t="s">
        <v>62</v>
      </c>
      <c r="AE96" s="2332"/>
      <c r="AF96" s="2443">
        <v>1</v>
      </c>
      <c r="AG96" s="2369"/>
      <c r="AH96" s="2113" t="s">
        <v>62</v>
      </c>
      <c r="AI96" s="2332"/>
      <c r="AJ96" s="2443">
        <v>1</v>
      </c>
      <c r="AK96" s="2333" t="s">
        <v>28</v>
      </c>
      <c r="AL96" s="2113" t="s">
        <v>62</v>
      </c>
      <c r="AM96" s="2300"/>
      <c r="AN96" s="2443">
        <v>1</v>
      </c>
      <c r="AO96" s="2363"/>
      <c r="AP96" s="2364" t="s">
        <v>62</v>
      </c>
      <c r="AQ96" s="689" t="s">
        <v>253</v>
      </c>
      <c r="AR96" s="2443" t="s">
        <v>112</v>
      </c>
      <c r="AS96" s="2582" t="s">
        <v>530</v>
      </c>
      <c r="AT96" s="757"/>
      <c r="AU96" s="1263"/>
      <c r="AV96" s="757"/>
      <c r="AW96" s="1263">
        <v>21061.59</v>
      </c>
      <c r="AX96" s="2608">
        <v>46023.615648148145</v>
      </c>
      <c r="AY96" s="2113" t="s">
        <v>62</v>
      </c>
      <c r="AZ96" s="2608">
        <v>46387.627534722225</v>
      </c>
      <c r="BA96" s="2113" t="s">
        <v>62</v>
      </c>
      <c r="BB96" s="1354"/>
      <c r="BC96" s="2259" t="s">
        <v>514</v>
      </c>
      <c r="BD96" s="1648"/>
      <c r="BE96" s="1630"/>
      <c r="BF96" s="1630" t="str">
        <f>IF(T96="","",T96)</f>
        <v/>
      </c>
      <c r="BG96" s="1630"/>
      <c r="BH96" s="1630"/>
      <c r="BI96" s="1641">
        <v>0</v>
      </c>
    </row>
    <row customHeight="1" ht="14.25">
      <c r="A97" s="1369"/>
      <c r="B97" s="1369"/>
      <c r="C97" s="1369"/>
      <c r="D97" s="1369"/>
      <c r="E97" s="2265"/>
      <c r="F97" s="2265"/>
      <c r="G97" s="2265"/>
      <c r="H97" s="2265"/>
      <c r="I97" s="2292"/>
      <c r="J97" s="2292"/>
      <c r="K97" s="2262"/>
      <c r="L97" s="1375"/>
      <c r="M97" s="1782"/>
      <c r="N97" s="1782"/>
      <c r="O97" s="1782"/>
      <c r="P97" s="2380"/>
      <c r="Q97" s="2380"/>
      <c r="R97" s="2353"/>
      <c r="S97" s="2348"/>
      <c r="T97" s="2367"/>
      <c r="U97" s="306"/>
      <c r="V97" s="3295"/>
      <c r="W97" s="3296"/>
      <c r="X97" s="3297"/>
      <c r="Y97" s="3298"/>
      <c r="Z97" s="3299"/>
      <c r="AA97" s="3300"/>
      <c r="AB97" s="3301"/>
      <c r="AC97" s="3302"/>
      <c r="AD97" s="2192"/>
      <c r="AE97" s="2332"/>
      <c r="AF97" s="2443"/>
      <c r="AG97" s="2369"/>
      <c r="AH97" s="2113"/>
      <c r="AI97" s="2332"/>
      <c r="AJ97" s="2443" t="s">
        <v>113</v>
      </c>
      <c r="AK97" s="2333"/>
      <c r="AL97" s="2113"/>
      <c r="AM97" s="2301"/>
      <c r="AN97" s="2443"/>
      <c r="AO97" s="2683" t="s">
        <v>28</v>
      </c>
      <c r="AP97" s="2365"/>
      <c r="AQ97" s="3303"/>
      <c r="AR97" s="3304"/>
      <c r="AS97" s="3305" t="s">
        <v>515</v>
      </c>
      <c r="AT97" s="3306"/>
      <c r="AU97" s="3307"/>
      <c r="AV97" s="3308"/>
      <c r="AW97" s="3309"/>
      <c r="AX97" s="3310"/>
      <c r="AY97" s="3311"/>
      <c r="AZ97" s="3312"/>
      <c r="BA97" s="3313"/>
      <c r="BB97" s="3314"/>
      <c r="BC97" s="2260"/>
      <c r="BD97" s="1648"/>
      <c r="BE97" s="1630"/>
      <c r="BF97" s="1630"/>
      <c r="BG97" s="1630"/>
      <c r="BH97" s="1630"/>
      <c r="BI97" s="1641">
        <v>0</v>
      </c>
    </row>
    <row customHeight="1" ht="14.25">
      <c r="A98" s="1369"/>
      <c r="B98" s="1369"/>
      <c r="C98" s="1369"/>
      <c r="D98" s="1369"/>
      <c r="E98" s="2265"/>
      <c r="F98" s="2265"/>
      <c r="G98" s="2265"/>
      <c r="H98" s="2265"/>
      <c r="I98" s="2292"/>
      <c r="J98" s="2292"/>
      <c r="K98" s="2262"/>
      <c r="L98" s="1375"/>
      <c r="M98" s="1782"/>
      <c r="N98" s="1782"/>
      <c r="O98" s="1782"/>
      <c r="P98" s="2380"/>
      <c r="Q98" s="2380"/>
      <c r="R98" s="2353"/>
      <c r="S98" s="2348"/>
      <c r="T98" s="2367"/>
      <c r="U98" s="306"/>
      <c r="V98" s="3315"/>
      <c r="W98" s="3316"/>
      <c r="X98" s="3317"/>
      <c r="Y98" s="3318"/>
      <c r="Z98" s="3319"/>
      <c r="AA98" s="3320"/>
      <c r="AB98" s="3321"/>
      <c r="AC98" s="3322"/>
      <c r="AD98" s="2192"/>
      <c r="AE98" s="2332"/>
      <c r="AF98" s="2443"/>
      <c r="AG98" s="2369"/>
      <c r="AH98" s="2113"/>
      <c r="AI98" s="2332"/>
      <c r="AJ98" s="2443" t="s">
        <v>113</v>
      </c>
      <c r="AK98" s="2333"/>
      <c r="AL98" s="2113"/>
      <c r="AM98" s="3323"/>
      <c r="AN98" s="3324"/>
      <c r="AO98" s="3325" t="s">
        <v>516</v>
      </c>
      <c r="AP98" s="3326"/>
      <c r="AQ98" s="3327"/>
      <c r="AR98" s="3328"/>
      <c r="AS98" s="3329"/>
      <c r="AT98" s="3330"/>
      <c r="AU98" s="3331"/>
      <c r="AV98" s="3332"/>
      <c r="AW98" s="3333"/>
      <c r="AX98" s="3334"/>
      <c r="AY98" s="3335"/>
      <c r="AZ98" s="3336"/>
      <c r="BA98" s="3337"/>
      <c r="BB98" s="3338"/>
      <c r="BC98" s="2260"/>
      <c r="BD98" s="1648"/>
      <c r="BE98" s="1630"/>
      <c r="BF98" s="1630"/>
      <c r="BG98" s="1630"/>
      <c r="BH98" s="1630"/>
      <c r="BI98" s="1641">
        <v>0</v>
      </c>
    </row>
    <row s="1856" customFormat="1" customHeight="1" ht="11.25">
      <c r="A99" s="1369"/>
      <c r="B99" s="1369"/>
      <c r="C99" s="1369"/>
      <c r="D99" s="1369"/>
      <c r="E99" s="2265">
        <v>1</v>
      </c>
      <c r="F99" s="2265"/>
      <c r="G99" s="2265"/>
      <c r="H99" s="2265"/>
      <c r="I99" s="2292"/>
      <c r="J99" s="2292"/>
      <c r="K99" s="2262"/>
      <c r="L99" s="1375"/>
      <c r="M99" s="1782"/>
      <c r="N99" s="1782"/>
      <c r="O99" s="1782"/>
      <c r="P99" s="2380"/>
      <c r="Q99" s="2380"/>
      <c r="R99" s="2353"/>
      <c r="S99" s="2348"/>
      <c r="T99" s="2367"/>
      <c r="U99" s="306"/>
      <c r="V99" s="2728"/>
      <c r="W99" s="2729"/>
      <c r="X99" s="2730"/>
      <c r="Y99" s="2731"/>
      <c r="Z99" s="2732"/>
      <c r="AA99" s="2733"/>
      <c r="AB99" s="2734"/>
      <c r="AC99" s="2735"/>
      <c r="AD99" s="2192"/>
      <c r="AE99" s="2332"/>
      <c r="AF99" s="2443"/>
      <c r="AG99" s="2682" t="s">
        <v>28</v>
      </c>
      <c r="AH99" s="2113"/>
      <c r="AI99" s="2736"/>
      <c r="AJ99" s="2737"/>
      <c r="AK99" s="2738" t="s">
        <v>517</v>
      </c>
      <c r="AL99" s="2739"/>
      <c r="AM99" s="2740"/>
      <c r="AN99" s="2741"/>
      <c r="AO99" s="2742"/>
      <c r="AP99" s="2743"/>
      <c r="AQ99" s="2744"/>
      <c r="AR99" s="2745"/>
      <c r="AS99" s="2746"/>
      <c r="AT99" s="2747"/>
      <c r="AU99" s="2748"/>
      <c r="AV99" s="2749"/>
      <c r="AW99" s="2750"/>
      <c r="AX99" s="2751"/>
      <c r="AY99" s="2752"/>
      <c r="AZ99" s="2753"/>
      <c r="BA99" s="2754"/>
      <c r="BB99" s="2755"/>
      <c r="BC99" s="2260"/>
      <c r="BD99" s="1648"/>
      <c r="BE99" s="1630"/>
      <c r="BF99" s="1630"/>
      <c r="BG99" s="1630"/>
      <c r="BH99" s="1630"/>
      <c r="BI99" s="1641">
        <v>0</v>
      </c>
    </row>
    <row s="1856" customFormat="1" customHeight="1" ht="11.25">
      <c r="A100" s="1369"/>
      <c r="B100" s="1369"/>
      <c r="C100" s="1369"/>
      <c r="D100" s="1369"/>
      <c r="E100" s="2265">
        <v>1</v>
      </c>
      <c r="F100" s="2265"/>
      <c r="G100" s="2265"/>
      <c r="H100" s="2265"/>
      <c r="I100" s="2292"/>
      <c r="J100" s="2292"/>
      <c r="K100" s="2262"/>
      <c r="L100" s="1375"/>
      <c r="M100" s="1782"/>
      <c r="N100" s="1782"/>
      <c r="O100" s="1782"/>
      <c r="P100" s="2380"/>
      <c r="Q100" s="2380"/>
      <c r="R100" s="2353"/>
      <c r="S100" s="2349"/>
      <c r="T100" s="2368"/>
      <c r="U100" s="306"/>
      <c r="V100" s="2756"/>
      <c r="W100" s="2757" t="str">
        <f>Z69&amp;"-"&amp;AB69</f>
        <v>-</v>
      </c>
      <c r="X100" s="2758"/>
      <c r="Y100" s="2759" t="str">
        <f>AB69&amp;"-"&amp;AD69</f>
        <v>-нет</v>
      </c>
      <c r="Z100" s="2760"/>
      <c r="AA100" s="2761"/>
      <c r="AB100" s="2762"/>
      <c r="AC100" s="2763"/>
      <c r="AD100" s="2118"/>
      <c r="AE100" s="2764"/>
      <c r="AF100" s="2765"/>
      <c r="AG100" s="2766" t="s">
        <v>518</v>
      </c>
      <c r="AH100" s="2767"/>
      <c r="AI100" s="2768"/>
      <c r="AJ100" s="2769"/>
      <c r="AK100" s="2770"/>
      <c r="AL100" s="2771"/>
      <c r="AM100" s="2772"/>
      <c r="AN100" s="2773"/>
      <c r="AO100" s="2774"/>
      <c r="AP100" s="2775"/>
      <c r="AQ100" s="2776"/>
      <c r="AR100" s="2777"/>
      <c r="AS100" s="2778"/>
      <c r="AT100" s="2779"/>
      <c r="AU100" s="2780" t="str">
        <f>AX69&amp;"-"&amp;AZ69</f>
        <v>46023.61476851852-46387.62416666667</v>
      </c>
      <c r="AV100" s="2781"/>
      <c r="AW100" s="2782" t="str">
        <f>AZ69&amp;"-"&amp;BB69</f>
        <v>46387.62416666667-</v>
      </c>
      <c r="AX100" s="2783"/>
      <c r="AY100" s="2784"/>
      <c r="AZ100" s="2785"/>
      <c r="BA100" s="2786"/>
      <c r="BB100" s="2787" t="str">
        <f>BE69&amp;"-"&amp;BG69</f>
        <v>-</v>
      </c>
      <c r="BC100" s="2260"/>
      <c r="BD100" s="1648"/>
      <c r="BE100" s="1630"/>
      <c r="BF100" s="1630" t="str">
        <f>IF(T100="","",T100)</f>
        <v/>
      </c>
      <c r="BG100" s="1630"/>
      <c r="BH100" s="1630"/>
      <c r="BI100" s="1641">
        <v>0</v>
      </c>
    </row>
    <row customHeight="1" ht="14.25">
      <c r="A101" s="1369"/>
      <c r="B101" s="1369"/>
      <c r="C101" s="1369"/>
      <c r="D101" s="1369"/>
      <c r="E101" s="2265"/>
      <c r="F101" s="2265"/>
      <c r="G101" s="2265"/>
      <c r="H101" s="2265"/>
      <c r="I101" s="2292"/>
      <c r="J101" s="2292"/>
      <c r="K101" s="2262" t="str">
        <f>S65&amp;".2"</f>
        <v>2.1.1.2</v>
      </c>
      <c r="L101" s="1375"/>
      <c r="M101" s="1782"/>
      <c r="N101" s="1782"/>
      <c r="O101" s="1782"/>
      <c r="P101" s="2380"/>
      <c r="Q101" s="2380"/>
      <c r="R101" s="689" t="s">
        <v>253</v>
      </c>
      <c r="S101" s="2347" t="str">
        <f>$K101</f>
        <v>2.1.1.2</v>
      </c>
      <c r="T101" s="2366" t="s">
        <v>538</v>
      </c>
      <c r="U101" s="306"/>
      <c r="V101" s="757"/>
      <c r="W101" s="1263"/>
      <c r="X101" s="757"/>
      <c r="Y101" s="1263"/>
      <c r="Z101" s="2608"/>
      <c r="AA101" s="2113" t="s">
        <v>62</v>
      </c>
      <c r="AB101" s="2608"/>
      <c r="AC101" s="2113" t="s">
        <v>62</v>
      </c>
      <c r="AD101" s="2191" t="s">
        <v>19</v>
      </c>
      <c r="AE101" s="2332"/>
      <c r="AF101" s="2443">
        <v>1</v>
      </c>
      <c r="AG101" s="3339" t="s">
        <v>28</v>
      </c>
      <c r="AH101" s="2113" t="s">
        <v>62</v>
      </c>
      <c r="AI101" s="2332"/>
      <c r="AJ101" s="2443">
        <v>1</v>
      </c>
      <c r="AK101" s="2333" t="s">
        <v>532</v>
      </c>
      <c r="AL101" s="2113" t="s">
        <v>19</v>
      </c>
      <c r="AM101" s="2300"/>
      <c r="AN101" s="2443">
        <v>1</v>
      </c>
      <c r="AO101" s="3340" t="s">
        <v>28</v>
      </c>
      <c r="AP101" s="2364" t="s">
        <v>62</v>
      </c>
      <c r="AQ101" s="317"/>
      <c r="AR101" s="2443">
        <v>1</v>
      </c>
      <c r="AS101" s="2582" t="s">
        <v>530</v>
      </c>
      <c r="AT101" s="757"/>
      <c r="AU101" s="1263"/>
      <c r="AV101" s="757"/>
      <c r="AW101" s="1263">
        <v>1144.26</v>
      </c>
      <c r="AX101" s="2608">
        <v>46023.615694444445</v>
      </c>
      <c r="AY101" s="2113" t="s">
        <v>62</v>
      </c>
      <c r="AZ101" s="2608">
        <v>46387.62763888889</v>
      </c>
      <c r="BA101" s="2113" t="s">
        <v>62</v>
      </c>
      <c r="BB101" s="1354"/>
      <c r="BC101" s="2259" t="s">
        <v>514</v>
      </c>
      <c r="BD101" s="1648"/>
      <c r="BE101" s="1630"/>
      <c r="BF101" s="1630" t="str">
        <f>IF(T101="","",T101)</f>
        <v>Наружные инженерные сети водопровода, разработка грунта в отвал, стальные трубы диаметром:</v>
      </c>
      <c r="BG101" s="1630"/>
      <c r="BH101" s="1630"/>
      <c r="BI101" s="1641">
        <v>0</v>
      </c>
    </row>
    <row customHeight="1" ht="14.25">
      <c r="A102" s="1369"/>
      <c r="B102" s="1369"/>
      <c r="C102" s="1369"/>
      <c r="D102" s="1369"/>
      <c r="E102" s="2265"/>
      <c r="F102" s="2265"/>
      <c r="G102" s="2265"/>
      <c r="H102" s="2265"/>
      <c r="I102" s="2292"/>
      <c r="J102" s="2292"/>
      <c r="K102" s="2262" t="str">
        <f>S98&amp;".1"</f>
        <v>.1</v>
      </c>
      <c r="L102" s="1375"/>
      <c r="M102" s="1782"/>
      <c r="N102" s="1782"/>
      <c r="O102" s="1782"/>
      <c r="P102" s="2380"/>
      <c r="Q102" s="2380"/>
      <c r="R102" s="2353">
        <v>1</v>
      </c>
      <c r="S102" s="2347" t="str">
        <f>$K102</f>
        <v>.1</v>
      </c>
      <c r="T102" s="2366"/>
      <c r="U102" s="306"/>
      <c r="V102" s="757"/>
      <c r="W102" s="1263"/>
      <c r="X102" s="757"/>
      <c r="Y102" s="1263"/>
      <c r="Z102" s="2608"/>
      <c r="AA102" s="2113" t="s">
        <v>62</v>
      </c>
      <c r="AB102" s="2608"/>
      <c r="AC102" s="2113" t="s">
        <v>62</v>
      </c>
      <c r="AD102" s="2191" t="s">
        <v>62</v>
      </c>
      <c r="AE102" s="2332"/>
      <c r="AF102" s="2443">
        <v>1</v>
      </c>
      <c r="AG102" s="2369"/>
      <c r="AH102" s="2113" t="s">
        <v>62</v>
      </c>
      <c r="AI102" s="2332"/>
      <c r="AJ102" s="2443">
        <v>1</v>
      </c>
      <c r="AK102" s="2333" t="s">
        <v>28</v>
      </c>
      <c r="AL102" s="2113" t="s">
        <v>62</v>
      </c>
      <c r="AM102" s="2300"/>
      <c r="AN102" s="2443">
        <v>1</v>
      </c>
      <c r="AO102" s="2683" t="s">
        <v>28</v>
      </c>
      <c r="AP102" s="2364" t="s">
        <v>62</v>
      </c>
      <c r="AQ102" s="689" t="s">
        <v>253</v>
      </c>
      <c r="AR102" s="2443" t="s">
        <v>112</v>
      </c>
      <c r="AS102" s="2582" t="s">
        <v>530</v>
      </c>
      <c r="AT102" s="757"/>
      <c r="AU102" s="1263"/>
      <c r="AV102" s="757"/>
      <c r="AW102" s="1263">
        <v>1553.12</v>
      </c>
      <c r="AX102" s="2608">
        <v>46023.61574074074</v>
      </c>
      <c r="AY102" s="2113" t="s">
        <v>62</v>
      </c>
      <c r="AZ102" s="2608">
        <v>46387.62777777778</v>
      </c>
      <c r="BA102" s="2113" t="s">
        <v>62</v>
      </c>
      <c r="BB102" s="1354"/>
      <c r="BC102" s="2259" t="s">
        <v>514</v>
      </c>
      <c r="BD102" s="1648"/>
      <c r="BE102" s="1630"/>
      <c r="BF102" s="1630" t="str">
        <f>IF(T102="","",T102)</f>
        <v/>
      </c>
      <c r="BG102" s="1630"/>
      <c r="BH102" s="1630"/>
      <c r="BI102" s="1641">
        <v>0</v>
      </c>
    </row>
    <row customHeight="1" ht="14.25">
      <c r="A103" s="1369"/>
      <c r="B103" s="1369"/>
      <c r="C103" s="1369"/>
      <c r="D103" s="1369"/>
      <c r="E103" s="2265"/>
      <c r="F103" s="2265"/>
      <c r="G103" s="2265"/>
      <c r="H103" s="2265"/>
      <c r="I103" s="2292"/>
      <c r="J103" s="2292"/>
      <c r="K103" s="2262" t="str">
        <f>S99&amp;".1"</f>
        <v>.1</v>
      </c>
      <c r="L103" s="1375"/>
      <c r="M103" s="1782"/>
      <c r="N103" s="1782"/>
      <c r="O103" s="1782"/>
      <c r="P103" s="2380"/>
      <c r="Q103" s="2380"/>
      <c r="R103" s="2353">
        <v>1</v>
      </c>
      <c r="S103" s="2347" t="str">
        <f>$K103</f>
        <v>.1</v>
      </c>
      <c r="T103" s="2366"/>
      <c r="U103" s="306"/>
      <c r="V103" s="757"/>
      <c r="W103" s="1263"/>
      <c r="X103" s="757"/>
      <c r="Y103" s="1263"/>
      <c r="Z103" s="2608"/>
      <c r="AA103" s="2113" t="s">
        <v>62</v>
      </c>
      <c r="AB103" s="2608"/>
      <c r="AC103" s="2113" t="s">
        <v>62</v>
      </c>
      <c r="AD103" s="2191" t="s">
        <v>62</v>
      </c>
      <c r="AE103" s="2332"/>
      <c r="AF103" s="2443">
        <v>1</v>
      </c>
      <c r="AG103" s="2369"/>
      <c r="AH103" s="2113" t="s">
        <v>62</v>
      </c>
      <c r="AI103" s="2332"/>
      <c r="AJ103" s="2443">
        <v>1</v>
      </c>
      <c r="AK103" s="2333" t="s">
        <v>28</v>
      </c>
      <c r="AL103" s="2113" t="s">
        <v>62</v>
      </c>
      <c r="AM103" s="2300"/>
      <c r="AN103" s="2443">
        <v>1</v>
      </c>
      <c r="AO103" s="2363"/>
      <c r="AP103" s="2364" t="s">
        <v>62</v>
      </c>
      <c r="AQ103" s="689" t="s">
        <v>253</v>
      </c>
      <c r="AR103" s="2443" t="s">
        <v>91</v>
      </c>
      <c r="AS103" s="2582" t="s">
        <v>530</v>
      </c>
      <c r="AT103" s="757"/>
      <c r="AU103" s="1263"/>
      <c r="AV103" s="757"/>
      <c r="AW103" s="1263">
        <v>1716.39</v>
      </c>
      <c r="AX103" s="2608">
        <v>46023.61577546296</v>
      </c>
      <c r="AY103" s="2113" t="s">
        <v>62</v>
      </c>
      <c r="AZ103" s="2608">
        <v>46387.627916666665</v>
      </c>
      <c r="BA103" s="2113" t="s">
        <v>62</v>
      </c>
      <c r="BB103" s="1354"/>
      <c r="BC103" s="2259" t="s">
        <v>514</v>
      </c>
      <c r="BD103" s="1648"/>
      <c r="BE103" s="1630"/>
      <c r="BF103" s="1630" t="str">
        <f>IF(T103="","",T103)</f>
        <v/>
      </c>
      <c r="BG103" s="1630"/>
      <c r="BH103" s="1630"/>
      <c r="BI103" s="1641">
        <v>0</v>
      </c>
    </row>
    <row customHeight="1" ht="14.25">
      <c r="A104" s="1369"/>
      <c r="B104" s="1369"/>
      <c r="C104" s="1369"/>
      <c r="D104" s="1369"/>
      <c r="E104" s="2265"/>
      <c r="F104" s="2265"/>
      <c r="G104" s="2265"/>
      <c r="H104" s="2265"/>
      <c r="I104" s="2292"/>
      <c r="J104" s="2292"/>
      <c r="K104" s="2262" t="str">
        <f>S100&amp;".1"</f>
        <v>.1</v>
      </c>
      <c r="L104" s="1375"/>
      <c r="M104" s="1782"/>
      <c r="N104" s="1782"/>
      <c r="O104" s="1782"/>
      <c r="P104" s="2380"/>
      <c r="Q104" s="2380"/>
      <c r="R104" s="2353">
        <v>1</v>
      </c>
      <c r="S104" s="2347" t="str">
        <f>$K104</f>
        <v>.1</v>
      </c>
      <c r="T104" s="2366"/>
      <c r="U104" s="306"/>
      <c r="V104" s="757"/>
      <c r="W104" s="1263"/>
      <c r="X104" s="757"/>
      <c r="Y104" s="1263"/>
      <c r="Z104" s="2608"/>
      <c r="AA104" s="2113" t="s">
        <v>62</v>
      </c>
      <c r="AB104" s="2608"/>
      <c r="AC104" s="2113" t="s">
        <v>62</v>
      </c>
      <c r="AD104" s="2191" t="s">
        <v>62</v>
      </c>
      <c r="AE104" s="2332"/>
      <c r="AF104" s="2443">
        <v>1</v>
      </c>
      <c r="AG104" s="2369"/>
      <c r="AH104" s="2113" t="s">
        <v>62</v>
      </c>
      <c r="AI104" s="2332"/>
      <c r="AJ104" s="2443">
        <v>1</v>
      </c>
      <c r="AK104" s="2333" t="s">
        <v>28</v>
      </c>
      <c r="AL104" s="2113" t="s">
        <v>62</v>
      </c>
      <c r="AM104" s="2300"/>
      <c r="AN104" s="2443">
        <v>1</v>
      </c>
      <c r="AO104" s="2363"/>
      <c r="AP104" s="2364" t="s">
        <v>62</v>
      </c>
      <c r="AQ104" s="689" t="s">
        <v>253</v>
      </c>
      <c r="AR104" s="2443" t="s">
        <v>92</v>
      </c>
      <c r="AS104" s="2582" t="s">
        <v>530</v>
      </c>
      <c r="AT104" s="757"/>
      <c r="AU104" s="1263"/>
      <c r="AV104" s="757"/>
      <c r="AW104" s="1263">
        <v>2329.68</v>
      </c>
      <c r="AX104" s="2608">
        <v>46023.615891203706</v>
      </c>
      <c r="AY104" s="2113" t="s">
        <v>62</v>
      </c>
      <c r="AZ104" s="2608">
        <v>46387.62803240741</v>
      </c>
      <c r="BA104" s="2113" t="s">
        <v>62</v>
      </c>
      <c r="BB104" s="1354"/>
      <c r="BC104" s="2259" t="s">
        <v>514</v>
      </c>
      <c r="BD104" s="1648"/>
      <c r="BE104" s="1630"/>
      <c r="BF104" s="1630" t="str">
        <f>IF(T104="","",T104)</f>
        <v/>
      </c>
      <c r="BG104" s="1630"/>
      <c r="BH104" s="1630"/>
      <c r="BI104" s="1641">
        <v>0</v>
      </c>
    </row>
    <row customHeight="1" ht="14.25">
      <c r="A105" s="1369"/>
      <c r="B105" s="1369"/>
      <c r="C105" s="1369"/>
      <c r="D105" s="1369"/>
      <c r="E105" s="2265"/>
      <c r="F105" s="2265"/>
      <c r="G105" s="2265"/>
      <c r="H105" s="2265"/>
      <c r="I105" s="2292"/>
      <c r="J105" s="2292"/>
      <c r="K105" s="2262" t="str">
        <f>S65&amp;".1"</f>
        <v>2.1.1.1</v>
      </c>
      <c r="L105" s="1375"/>
      <c r="M105" s="1782"/>
      <c r="N105" s="1782"/>
      <c r="O105" s="1782"/>
      <c r="P105" s="2380"/>
      <c r="Q105" s="2380"/>
      <c r="R105" s="2353"/>
      <c r="S105" s="2348"/>
      <c r="T105" s="2367"/>
      <c r="U105" s="306"/>
      <c r="V105" s="2788"/>
      <c r="W105" s="2789"/>
      <c r="X105" s="2790"/>
      <c r="Y105" s="2791"/>
      <c r="Z105" s="2792"/>
      <c r="AA105" s="2793"/>
      <c r="AB105" s="2794"/>
      <c r="AC105" s="2795"/>
      <c r="AD105" s="2192"/>
      <c r="AE105" s="2332"/>
      <c r="AF105" s="2443"/>
      <c r="AG105" s="3339" t="s">
        <v>28</v>
      </c>
      <c r="AH105" s="2113"/>
      <c r="AI105" s="2332"/>
      <c r="AJ105" s="2443"/>
      <c r="AK105" s="2333"/>
      <c r="AL105" s="2113"/>
      <c r="AM105" s="2301"/>
      <c r="AN105" s="2443"/>
      <c r="AO105" s="3340" t="s">
        <v>28</v>
      </c>
      <c r="AP105" s="2365"/>
      <c r="AQ105" s="2796"/>
      <c r="AR105" s="2797"/>
      <c r="AS105" s="2798" t="s">
        <v>515</v>
      </c>
      <c r="AT105" s="2799"/>
      <c r="AU105" s="2800"/>
      <c r="AV105" s="2801"/>
      <c r="AW105" s="2802"/>
      <c r="AX105" s="2803"/>
      <c r="AY105" s="2804"/>
      <c r="AZ105" s="2805"/>
      <c r="BA105" s="2806"/>
      <c r="BB105" s="2807"/>
      <c r="BC105" s="2260"/>
      <c r="BD105" s="1648"/>
      <c r="BE105" s="1630"/>
      <c r="BF105" s="1630"/>
      <c r="BG105" s="1630"/>
      <c r="BH105" s="1630"/>
      <c r="BI105" s="1641">
        <v>0</v>
      </c>
    </row>
    <row customHeight="1" ht="14.25">
      <c r="A106" s="1369"/>
      <c r="B106" s="1369"/>
      <c r="C106" s="1369"/>
      <c r="D106" s="1369"/>
      <c r="E106" s="2265"/>
      <c r="F106" s="2265"/>
      <c r="G106" s="2265"/>
      <c r="H106" s="2265"/>
      <c r="I106" s="2292"/>
      <c r="J106" s="2292"/>
      <c r="K106" s="2262" t="str">
        <f>S65&amp;".1"</f>
        <v>2.1.1.1</v>
      </c>
      <c r="L106" s="1375"/>
      <c r="M106" s="1782"/>
      <c r="N106" s="1782"/>
      <c r="O106" s="1782"/>
      <c r="P106" s="2380"/>
      <c r="Q106" s="2380"/>
      <c r="R106" s="2353"/>
      <c r="S106" s="2348"/>
      <c r="T106" s="2367"/>
      <c r="U106" s="306"/>
      <c r="V106" s="2808"/>
      <c r="W106" s="2809"/>
      <c r="X106" s="2810"/>
      <c r="Y106" s="2811"/>
      <c r="Z106" s="2812"/>
      <c r="AA106" s="2813"/>
      <c r="AB106" s="2814"/>
      <c r="AC106" s="2815"/>
      <c r="AD106" s="2192"/>
      <c r="AE106" s="2332"/>
      <c r="AF106" s="2443"/>
      <c r="AG106" s="3339" t="s">
        <v>28</v>
      </c>
      <c r="AH106" s="2113"/>
      <c r="AI106" s="2332"/>
      <c r="AJ106" s="2443"/>
      <c r="AK106" s="2333"/>
      <c r="AL106" s="2113"/>
      <c r="AM106" s="2816"/>
      <c r="AN106" s="2817"/>
      <c r="AO106" s="2818" t="s">
        <v>516</v>
      </c>
      <c r="AP106" s="2819"/>
      <c r="AQ106" s="2820"/>
      <c r="AR106" s="2821"/>
      <c r="AS106" s="2822"/>
      <c r="AT106" s="2823"/>
      <c r="AU106" s="2824"/>
      <c r="AV106" s="2825"/>
      <c r="AW106" s="2826"/>
      <c r="AX106" s="2827"/>
      <c r="AY106" s="2828"/>
      <c r="AZ106" s="2829"/>
      <c r="BA106" s="2830"/>
      <c r="BB106" s="2831"/>
      <c r="BC106" s="2260"/>
      <c r="BD106" s="1648"/>
      <c r="BE106" s="1630"/>
      <c r="BF106" s="1630"/>
      <c r="BG106" s="1630"/>
      <c r="BH106" s="1630"/>
      <c r="BI106" s="1641">
        <v>0</v>
      </c>
    </row>
    <row customHeight="1" ht="14.25">
      <c r="A107" s="1369"/>
      <c r="B107" s="1369"/>
      <c r="C107" s="1369"/>
      <c r="D107" s="1369"/>
      <c r="E107" s="2265"/>
      <c r="F107" s="2265"/>
      <c r="G107" s="2265"/>
      <c r="H107" s="2265"/>
      <c r="I107" s="2292"/>
      <c r="J107" s="2292"/>
      <c r="K107" s="2262" t="str">
        <f>S100&amp;".1"</f>
        <v>.1</v>
      </c>
      <c r="L107" s="1375"/>
      <c r="M107" s="1782"/>
      <c r="N107" s="1782"/>
      <c r="O107" s="1782"/>
      <c r="P107" s="2380"/>
      <c r="Q107" s="2380"/>
      <c r="R107" s="2353">
        <v>1</v>
      </c>
      <c r="S107" s="2347" t="str">
        <f>$K107</f>
        <v>.1</v>
      </c>
      <c r="T107" s="2366"/>
      <c r="U107" s="306"/>
      <c r="V107" s="757"/>
      <c r="W107" s="1263"/>
      <c r="X107" s="757"/>
      <c r="Y107" s="1263"/>
      <c r="Z107" s="2608"/>
      <c r="AA107" s="2113" t="s">
        <v>62</v>
      </c>
      <c r="AB107" s="2608"/>
      <c r="AC107" s="2113" t="s">
        <v>62</v>
      </c>
      <c r="AD107" s="2191" t="s">
        <v>62</v>
      </c>
      <c r="AE107" s="2332"/>
      <c r="AF107" s="2443">
        <v>1</v>
      </c>
      <c r="AG107" s="2369"/>
      <c r="AH107" s="2113" t="s">
        <v>62</v>
      </c>
      <c r="AI107" s="689" t="s">
        <v>253</v>
      </c>
      <c r="AJ107" s="2443" t="s">
        <v>112</v>
      </c>
      <c r="AK107" s="2333" t="s">
        <v>533</v>
      </c>
      <c r="AL107" s="2113" t="s">
        <v>19</v>
      </c>
      <c r="AM107" s="2300"/>
      <c r="AN107" s="2443">
        <v>1</v>
      </c>
      <c r="AO107" s="2683" t="s">
        <v>28</v>
      </c>
      <c r="AP107" s="2364" t="s">
        <v>62</v>
      </c>
      <c r="AQ107" s="317"/>
      <c r="AR107" s="2443">
        <v>1</v>
      </c>
      <c r="AS107" s="2582" t="s">
        <v>530</v>
      </c>
      <c r="AT107" s="757"/>
      <c r="AU107" s="1263"/>
      <c r="AV107" s="757"/>
      <c r="AW107" s="1263">
        <v>3933.42</v>
      </c>
      <c r="AX107" s="2608">
        <v>46023.61592592593</v>
      </c>
      <c r="AY107" s="2113" t="s">
        <v>62</v>
      </c>
      <c r="AZ107" s="2608">
        <v>46387.62813657407</v>
      </c>
      <c r="BA107" s="2113" t="s">
        <v>62</v>
      </c>
      <c r="BB107" s="1354"/>
      <c r="BC107" s="2259" t="s">
        <v>514</v>
      </c>
      <c r="BD107" s="1648"/>
      <c r="BE107" s="1630"/>
      <c r="BF107" s="1630" t="str">
        <f>IF(T107="","",T107)</f>
        <v/>
      </c>
      <c r="BG107" s="1630"/>
      <c r="BH107" s="1630"/>
      <c r="BI107" s="1641">
        <v>0</v>
      </c>
    </row>
    <row customHeight="1" ht="14.25">
      <c r="A108" s="1369"/>
      <c r="B108" s="1369"/>
      <c r="C108" s="1369"/>
      <c r="D108" s="1369"/>
      <c r="E108" s="2265"/>
      <c r="F108" s="2265"/>
      <c r="G108" s="2265"/>
      <c r="H108" s="2265"/>
      <c r="I108" s="2292"/>
      <c r="J108" s="2292"/>
      <c r="K108" s="2262" t="str">
        <f>S104&amp;".1"</f>
        <v>.1.1</v>
      </c>
      <c r="L108" s="1375"/>
      <c r="M108" s="1782"/>
      <c r="N108" s="1782"/>
      <c r="O108" s="1782"/>
      <c r="P108" s="2380"/>
      <c r="Q108" s="2380"/>
      <c r="R108" s="2353">
        <v>1</v>
      </c>
      <c r="S108" s="2347" t="str">
        <f>$K108</f>
        <v>.1.1</v>
      </c>
      <c r="T108" s="2366"/>
      <c r="U108" s="306"/>
      <c r="V108" s="757"/>
      <c r="W108" s="1263"/>
      <c r="X108" s="757"/>
      <c r="Y108" s="1263"/>
      <c r="Z108" s="2608"/>
      <c r="AA108" s="2113" t="s">
        <v>62</v>
      </c>
      <c r="AB108" s="2608"/>
      <c r="AC108" s="2113" t="s">
        <v>62</v>
      </c>
      <c r="AD108" s="2191" t="s">
        <v>62</v>
      </c>
      <c r="AE108" s="2332"/>
      <c r="AF108" s="2443">
        <v>1</v>
      </c>
      <c r="AG108" s="2369"/>
      <c r="AH108" s="2113" t="s">
        <v>62</v>
      </c>
      <c r="AI108" s="2332"/>
      <c r="AJ108" s="2443">
        <v>1</v>
      </c>
      <c r="AK108" s="2333" t="s">
        <v>28</v>
      </c>
      <c r="AL108" s="2113" t="s">
        <v>62</v>
      </c>
      <c r="AM108" s="2300"/>
      <c r="AN108" s="2443">
        <v>1</v>
      </c>
      <c r="AO108" s="2363"/>
      <c r="AP108" s="2364" t="s">
        <v>62</v>
      </c>
      <c r="AQ108" s="689" t="s">
        <v>253</v>
      </c>
      <c r="AR108" s="2443" t="s">
        <v>112</v>
      </c>
      <c r="AS108" s="2582" t="s">
        <v>530</v>
      </c>
      <c r="AT108" s="757"/>
      <c r="AU108" s="1263"/>
      <c r="AV108" s="757"/>
      <c r="AW108" s="1263">
        <v>5338.81</v>
      </c>
      <c r="AX108" s="2608">
        <v>46023.61597222222</v>
      </c>
      <c r="AY108" s="2113" t="s">
        <v>62</v>
      </c>
      <c r="AZ108" s="2608">
        <v>46418.628229166665</v>
      </c>
      <c r="BA108" s="2113" t="s">
        <v>62</v>
      </c>
      <c r="BB108" s="1354"/>
      <c r="BC108" s="2259" t="s">
        <v>514</v>
      </c>
      <c r="BD108" s="1648"/>
      <c r="BE108" s="1630"/>
      <c r="BF108" s="1630" t="str">
        <f>IF(T108="","",T108)</f>
        <v/>
      </c>
      <c r="BG108" s="1630"/>
      <c r="BH108" s="1630"/>
      <c r="BI108" s="1641">
        <v>0</v>
      </c>
    </row>
    <row customHeight="1" ht="14.25">
      <c r="A109" s="1369"/>
      <c r="B109" s="1369"/>
      <c r="C109" s="1369"/>
      <c r="D109" s="1369"/>
      <c r="E109" s="2265"/>
      <c r="F109" s="2265"/>
      <c r="G109" s="2265"/>
      <c r="H109" s="2265"/>
      <c r="I109" s="2292"/>
      <c r="J109" s="2292"/>
      <c r="K109" s="2262"/>
      <c r="L109" s="1375"/>
      <c r="M109" s="1782"/>
      <c r="N109" s="1782"/>
      <c r="O109" s="1782"/>
      <c r="P109" s="2380"/>
      <c r="Q109" s="2380"/>
      <c r="R109" s="2353"/>
      <c r="S109" s="2348"/>
      <c r="T109" s="2367"/>
      <c r="U109" s="306"/>
      <c r="V109" s="3341"/>
      <c r="W109" s="3342"/>
      <c r="X109" s="3343"/>
      <c r="Y109" s="3344"/>
      <c r="Z109" s="3345"/>
      <c r="AA109" s="3346"/>
      <c r="AB109" s="3347"/>
      <c r="AC109" s="3348"/>
      <c r="AD109" s="2192"/>
      <c r="AE109" s="2332"/>
      <c r="AF109" s="2443"/>
      <c r="AG109" s="2369"/>
      <c r="AH109" s="2113"/>
      <c r="AI109" s="2332"/>
      <c r="AJ109" s="2443">
        <v>1</v>
      </c>
      <c r="AK109" s="2333"/>
      <c r="AL109" s="2113"/>
      <c r="AM109" s="2301"/>
      <c r="AN109" s="2443"/>
      <c r="AO109" s="2683" t="s">
        <v>28</v>
      </c>
      <c r="AP109" s="2365"/>
      <c r="AQ109" s="3349"/>
      <c r="AR109" s="3350"/>
      <c r="AS109" s="3351" t="s">
        <v>515</v>
      </c>
      <c r="AT109" s="3352"/>
      <c r="AU109" s="3353"/>
      <c r="AV109" s="3354"/>
      <c r="AW109" s="3355"/>
      <c r="AX109" s="3356"/>
      <c r="AY109" s="3357"/>
      <c r="AZ109" s="3358"/>
      <c r="BA109" s="3359"/>
      <c r="BB109" s="3360"/>
      <c r="BC109" s="2260"/>
      <c r="BD109" s="1648"/>
      <c r="BE109" s="1630"/>
      <c r="BF109" s="1630"/>
      <c r="BG109" s="1630"/>
      <c r="BH109" s="1630"/>
      <c r="BI109" s="1641">
        <v>0</v>
      </c>
    </row>
    <row customHeight="1" ht="14.25">
      <c r="A110" s="1369"/>
      <c r="B110" s="1369"/>
      <c r="C110" s="1369"/>
      <c r="D110" s="1369"/>
      <c r="E110" s="2265"/>
      <c r="F110" s="2265"/>
      <c r="G110" s="2265"/>
      <c r="H110" s="2265"/>
      <c r="I110" s="2292"/>
      <c r="J110" s="2292"/>
      <c r="K110" s="2262"/>
      <c r="L110" s="1375"/>
      <c r="M110" s="1782"/>
      <c r="N110" s="1782"/>
      <c r="O110" s="1782"/>
      <c r="P110" s="2380"/>
      <c r="Q110" s="2380"/>
      <c r="R110" s="2353"/>
      <c r="S110" s="2348"/>
      <c r="T110" s="2367"/>
      <c r="U110" s="306"/>
      <c r="V110" s="3361"/>
      <c r="W110" s="3362"/>
      <c r="X110" s="3363"/>
      <c r="Y110" s="3364"/>
      <c r="Z110" s="3365"/>
      <c r="AA110" s="3366"/>
      <c r="AB110" s="3367"/>
      <c r="AC110" s="3368"/>
      <c r="AD110" s="2192"/>
      <c r="AE110" s="2332"/>
      <c r="AF110" s="2443"/>
      <c r="AG110" s="2369"/>
      <c r="AH110" s="2113"/>
      <c r="AI110" s="2332"/>
      <c r="AJ110" s="2443">
        <v>1</v>
      </c>
      <c r="AK110" s="2333"/>
      <c r="AL110" s="2113"/>
      <c r="AM110" s="3369"/>
      <c r="AN110" s="3370"/>
      <c r="AO110" s="3371" t="s">
        <v>516</v>
      </c>
      <c r="AP110" s="3372"/>
      <c r="AQ110" s="3373"/>
      <c r="AR110" s="3374"/>
      <c r="AS110" s="3375"/>
      <c r="AT110" s="3376"/>
      <c r="AU110" s="3377"/>
      <c r="AV110" s="3378"/>
      <c r="AW110" s="3379"/>
      <c r="AX110" s="3380"/>
      <c r="AY110" s="3381"/>
      <c r="AZ110" s="3382"/>
      <c r="BA110" s="3383"/>
      <c r="BB110" s="3384"/>
      <c r="BC110" s="2260"/>
      <c r="BD110" s="1648"/>
      <c r="BE110" s="1630"/>
      <c r="BF110" s="1630"/>
      <c r="BG110" s="1630"/>
      <c r="BH110" s="1630"/>
      <c r="BI110" s="1641">
        <v>0</v>
      </c>
    </row>
    <row customHeight="1" ht="14.25">
      <c r="A111" s="1369"/>
      <c r="B111" s="1369"/>
      <c r="C111" s="1369"/>
      <c r="D111" s="1369"/>
      <c r="E111" s="2265"/>
      <c r="F111" s="2265"/>
      <c r="G111" s="2265"/>
      <c r="H111" s="2265"/>
      <c r="I111" s="2292"/>
      <c r="J111" s="2292"/>
      <c r="K111" s="2262" t="str">
        <f>S106&amp;".1"</f>
        <v>.1</v>
      </c>
      <c r="L111" s="1375"/>
      <c r="M111" s="1782"/>
      <c r="N111" s="1782"/>
      <c r="O111" s="1782"/>
      <c r="P111" s="2380"/>
      <c r="Q111" s="2380"/>
      <c r="R111" s="2353">
        <v>1</v>
      </c>
      <c r="S111" s="2347" t="str">
        <f>$K111</f>
        <v>.1</v>
      </c>
      <c r="T111" s="2366"/>
      <c r="U111" s="306"/>
      <c r="V111" s="757"/>
      <c r="W111" s="1263"/>
      <c r="X111" s="757"/>
      <c r="Y111" s="1263"/>
      <c r="Z111" s="2608"/>
      <c r="AA111" s="2113" t="s">
        <v>62</v>
      </c>
      <c r="AB111" s="2608"/>
      <c r="AC111" s="2113" t="s">
        <v>62</v>
      </c>
      <c r="AD111" s="2191" t="s">
        <v>62</v>
      </c>
      <c r="AE111" s="2332"/>
      <c r="AF111" s="2443">
        <v>1</v>
      </c>
      <c r="AG111" s="2369"/>
      <c r="AH111" s="2113" t="s">
        <v>62</v>
      </c>
      <c r="AI111" s="689" t="s">
        <v>253</v>
      </c>
      <c r="AJ111" s="2443" t="s">
        <v>91</v>
      </c>
      <c r="AK111" s="2333" t="s">
        <v>534</v>
      </c>
      <c r="AL111" s="2113" t="s">
        <v>19</v>
      </c>
      <c r="AM111" s="2300"/>
      <c r="AN111" s="2443">
        <v>1</v>
      </c>
      <c r="AO111" s="2683" t="s">
        <v>28</v>
      </c>
      <c r="AP111" s="2364" t="s">
        <v>62</v>
      </c>
      <c r="AQ111" s="317"/>
      <c r="AR111" s="2443">
        <v>1</v>
      </c>
      <c r="AS111" s="2582" t="s">
        <v>530</v>
      </c>
      <c r="AT111" s="757"/>
      <c r="AU111" s="1263"/>
      <c r="AV111" s="757"/>
      <c r="AW111" s="1263">
        <v>5506.76</v>
      </c>
      <c r="AX111" s="2608">
        <v>46023.61601851852</v>
      </c>
      <c r="AY111" s="2113" t="s">
        <v>62</v>
      </c>
      <c r="AZ111" s="2608">
        <v>46387.628333333334</v>
      </c>
      <c r="BA111" s="2113" t="s">
        <v>62</v>
      </c>
      <c r="BB111" s="1354"/>
      <c r="BC111" s="2259" t="s">
        <v>514</v>
      </c>
      <c r="BD111" s="1648"/>
      <c r="BE111" s="1630"/>
      <c r="BF111" s="1630" t="str">
        <f>IF(T111="","",T111)</f>
        <v/>
      </c>
      <c r="BG111" s="1630"/>
      <c r="BH111" s="1630"/>
      <c r="BI111" s="1641">
        <v>0</v>
      </c>
    </row>
    <row customHeight="1" ht="14.25">
      <c r="A112" s="1369"/>
      <c r="B112" s="1369"/>
      <c r="C112" s="1369"/>
      <c r="D112" s="1369"/>
      <c r="E112" s="2265"/>
      <c r="F112" s="2265"/>
      <c r="G112" s="2265"/>
      <c r="H112" s="2265"/>
      <c r="I112" s="2292"/>
      <c r="J112" s="2292"/>
      <c r="K112" s="2262" t="str">
        <f>S108&amp;".1"</f>
        <v>.1.1.1</v>
      </c>
      <c r="L112" s="1375"/>
      <c r="M112" s="1782"/>
      <c r="N112" s="1782"/>
      <c r="O112" s="1782"/>
      <c r="P112" s="2380"/>
      <c r="Q112" s="2380"/>
      <c r="R112" s="2353">
        <v>1</v>
      </c>
      <c r="S112" s="2347" t="str">
        <f>$K112</f>
        <v>.1.1.1</v>
      </c>
      <c r="T112" s="2366"/>
      <c r="U112" s="306"/>
      <c r="V112" s="757"/>
      <c r="W112" s="1263"/>
      <c r="X112" s="757"/>
      <c r="Y112" s="1263"/>
      <c r="Z112" s="2608"/>
      <c r="AA112" s="2113" t="s">
        <v>62</v>
      </c>
      <c r="AB112" s="2608"/>
      <c r="AC112" s="2113" t="s">
        <v>62</v>
      </c>
      <c r="AD112" s="2191" t="s">
        <v>62</v>
      </c>
      <c r="AE112" s="2332"/>
      <c r="AF112" s="2443">
        <v>1</v>
      </c>
      <c r="AG112" s="2369"/>
      <c r="AH112" s="2113" t="s">
        <v>62</v>
      </c>
      <c r="AI112" s="2332"/>
      <c r="AJ112" s="2443">
        <v>1</v>
      </c>
      <c r="AK112" s="2333" t="s">
        <v>28</v>
      </c>
      <c r="AL112" s="2113" t="s">
        <v>62</v>
      </c>
      <c r="AM112" s="2300"/>
      <c r="AN112" s="2443">
        <v>1</v>
      </c>
      <c r="AO112" s="2363"/>
      <c r="AP112" s="2364" t="s">
        <v>62</v>
      </c>
      <c r="AQ112" s="689" t="s">
        <v>253</v>
      </c>
      <c r="AR112" s="2443" t="s">
        <v>112</v>
      </c>
      <c r="AS112" s="2582" t="s">
        <v>530</v>
      </c>
      <c r="AT112" s="757"/>
      <c r="AU112" s="1263"/>
      <c r="AV112" s="757"/>
      <c r="AW112" s="1263">
        <v>7474.35</v>
      </c>
      <c r="AX112" s="2608">
        <v>46023.61605324074</v>
      </c>
      <c r="AY112" s="2113" t="s">
        <v>62</v>
      </c>
      <c r="AZ112" s="2608">
        <v>46387.62842592593</v>
      </c>
      <c r="BA112" s="2113" t="s">
        <v>62</v>
      </c>
      <c r="BB112" s="1354"/>
      <c r="BC112" s="2259" t="s">
        <v>514</v>
      </c>
      <c r="BD112" s="1648"/>
      <c r="BE112" s="1630"/>
      <c r="BF112" s="1630" t="str">
        <f>IF(T112="","",T112)</f>
        <v/>
      </c>
      <c r="BG112" s="1630"/>
      <c r="BH112" s="1630"/>
      <c r="BI112" s="1641">
        <v>0</v>
      </c>
    </row>
    <row customHeight="1" ht="14.25">
      <c r="A113" s="1369"/>
      <c r="B113" s="1369"/>
      <c r="C113" s="1369"/>
      <c r="D113" s="1369"/>
      <c r="E113" s="2265"/>
      <c r="F113" s="2265"/>
      <c r="G113" s="2265"/>
      <c r="H113" s="2265"/>
      <c r="I113" s="2292"/>
      <c r="J113" s="2292"/>
      <c r="K113" s="2262" t="str">
        <f>S109&amp;".1"</f>
        <v>.1</v>
      </c>
      <c r="L113" s="1375"/>
      <c r="M113" s="1782"/>
      <c r="N113" s="1782"/>
      <c r="O113" s="1782"/>
      <c r="P113" s="2380"/>
      <c r="Q113" s="2380"/>
      <c r="R113" s="2353">
        <v>1</v>
      </c>
      <c r="S113" s="2347" t="str">
        <f>$K113</f>
        <v>.1</v>
      </c>
      <c r="T113" s="2366"/>
      <c r="U113" s="306"/>
      <c r="V113" s="757"/>
      <c r="W113" s="1263"/>
      <c r="X113" s="757"/>
      <c r="Y113" s="1263"/>
      <c r="Z113" s="2608"/>
      <c r="AA113" s="2113" t="s">
        <v>62</v>
      </c>
      <c r="AB113" s="2608"/>
      <c r="AC113" s="2113" t="s">
        <v>62</v>
      </c>
      <c r="AD113" s="2191" t="s">
        <v>62</v>
      </c>
      <c r="AE113" s="2332"/>
      <c r="AF113" s="2443">
        <v>1</v>
      </c>
      <c r="AG113" s="2369"/>
      <c r="AH113" s="2113" t="s">
        <v>62</v>
      </c>
      <c r="AI113" s="2332"/>
      <c r="AJ113" s="2443">
        <v>1</v>
      </c>
      <c r="AK113" s="2333" t="s">
        <v>28</v>
      </c>
      <c r="AL113" s="2113" t="s">
        <v>62</v>
      </c>
      <c r="AM113" s="2300"/>
      <c r="AN113" s="2443">
        <v>1</v>
      </c>
      <c r="AO113" s="2363"/>
      <c r="AP113" s="2364" t="s">
        <v>62</v>
      </c>
      <c r="AQ113" s="689" t="s">
        <v>253</v>
      </c>
      <c r="AR113" s="2443" t="s">
        <v>91</v>
      </c>
      <c r="AS113" s="2582" t="s">
        <v>530</v>
      </c>
      <c r="AT113" s="757"/>
      <c r="AU113" s="1263"/>
      <c r="AV113" s="757"/>
      <c r="AW113" s="1263">
        <v>7456.7</v>
      </c>
      <c r="AX113" s="2608">
        <v>46023.61609953704</v>
      </c>
      <c r="AY113" s="2113" t="s">
        <v>62</v>
      </c>
      <c r="AZ113" s="2608">
        <v>46387.62851851852</v>
      </c>
      <c r="BA113" s="2113" t="s">
        <v>62</v>
      </c>
      <c r="BB113" s="1354"/>
      <c r="BC113" s="2259" t="s">
        <v>514</v>
      </c>
      <c r="BD113" s="1648"/>
      <c r="BE113" s="1630"/>
      <c r="BF113" s="1630" t="str">
        <f>IF(T113="","",T113)</f>
        <v/>
      </c>
      <c r="BG113" s="1630"/>
      <c r="BH113" s="1630"/>
      <c r="BI113" s="1641">
        <v>0</v>
      </c>
    </row>
    <row customHeight="1" ht="14.25">
      <c r="A114" s="1369"/>
      <c r="B114" s="1369"/>
      <c r="C114" s="1369"/>
      <c r="D114" s="1369"/>
      <c r="E114" s="2265"/>
      <c r="F114" s="2265"/>
      <c r="G114" s="2265"/>
      <c r="H114" s="2265"/>
      <c r="I114" s="2292"/>
      <c r="J114" s="2292"/>
      <c r="K114" s="2262" t="str">
        <f>S110&amp;".1"</f>
        <v>.1</v>
      </c>
      <c r="L114" s="1375"/>
      <c r="M114" s="1782"/>
      <c r="N114" s="1782"/>
      <c r="O114" s="1782"/>
      <c r="P114" s="2380"/>
      <c r="Q114" s="2380"/>
      <c r="R114" s="2353">
        <v>1</v>
      </c>
      <c r="S114" s="2347" t="str">
        <f>$K114</f>
        <v>.1</v>
      </c>
      <c r="T114" s="2366"/>
      <c r="U114" s="306"/>
      <c r="V114" s="757"/>
      <c r="W114" s="1263"/>
      <c r="X114" s="757"/>
      <c r="Y114" s="1263"/>
      <c r="Z114" s="2608"/>
      <c r="AA114" s="2113" t="s">
        <v>62</v>
      </c>
      <c r="AB114" s="2608"/>
      <c r="AC114" s="2113" t="s">
        <v>62</v>
      </c>
      <c r="AD114" s="2191" t="s">
        <v>62</v>
      </c>
      <c r="AE114" s="2332"/>
      <c r="AF114" s="2443">
        <v>1</v>
      </c>
      <c r="AG114" s="2369"/>
      <c r="AH114" s="2113" t="s">
        <v>62</v>
      </c>
      <c r="AI114" s="2332"/>
      <c r="AJ114" s="2443">
        <v>1</v>
      </c>
      <c r="AK114" s="2333" t="s">
        <v>28</v>
      </c>
      <c r="AL114" s="2113" t="s">
        <v>62</v>
      </c>
      <c r="AM114" s="2300"/>
      <c r="AN114" s="2443">
        <v>1</v>
      </c>
      <c r="AO114" s="2363"/>
      <c r="AP114" s="2364" t="s">
        <v>62</v>
      </c>
      <c r="AQ114" s="689" t="s">
        <v>253</v>
      </c>
      <c r="AR114" s="2443" t="s">
        <v>92</v>
      </c>
      <c r="AS114" s="2582" t="s">
        <v>530</v>
      </c>
      <c r="AT114" s="757"/>
      <c r="AU114" s="1263"/>
      <c r="AV114" s="757"/>
      <c r="AW114" s="1263">
        <v>10120.98</v>
      </c>
      <c r="AX114" s="2608">
        <v>46023.61615740741</v>
      </c>
      <c r="AY114" s="2113" t="s">
        <v>62</v>
      </c>
      <c r="AZ114" s="2608">
        <v>46387.62861111111</v>
      </c>
      <c r="BA114" s="2113" t="s">
        <v>62</v>
      </c>
      <c r="BB114" s="1354"/>
      <c r="BC114" s="2259" t="s">
        <v>514</v>
      </c>
      <c r="BD114" s="1648"/>
      <c r="BE114" s="1630"/>
      <c r="BF114" s="1630" t="str">
        <f>IF(T114="","",T114)</f>
        <v/>
      </c>
      <c r="BG114" s="1630"/>
      <c r="BH114" s="1630"/>
      <c r="BI114" s="1641">
        <v>0</v>
      </c>
    </row>
    <row customHeight="1" ht="14.25">
      <c r="A115" s="1369"/>
      <c r="B115" s="1369"/>
      <c r="C115" s="1369"/>
      <c r="D115" s="1369"/>
      <c r="E115" s="2265"/>
      <c r="F115" s="2265"/>
      <c r="G115" s="2265"/>
      <c r="H115" s="2265"/>
      <c r="I115" s="2292"/>
      <c r="J115" s="2292"/>
      <c r="K115" s="2262"/>
      <c r="L115" s="1375"/>
      <c r="M115" s="1782"/>
      <c r="N115" s="1782"/>
      <c r="O115" s="1782"/>
      <c r="P115" s="2380"/>
      <c r="Q115" s="2380"/>
      <c r="R115" s="2353"/>
      <c r="S115" s="2348"/>
      <c r="T115" s="2367"/>
      <c r="U115" s="306"/>
      <c r="V115" s="3385"/>
      <c r="W115" s="3386"/>
      <c r="X115" s="3387"/>
      <c r="Y115" s="3388"/>
      <c r="Z115" s="3389"/>
      <c r="AA115" s="3390"/>
      <c r="AB115" s="3391"/>
      <c r="AC115" s="3392"/>
      <c r="AD115" s="2192"/>
      <c r="AE115" s="2332"/>
      <c r="AF115" s="2443"/>
      <c r="AG115" s="2369"/>
      <c r="AH115" s="2113"/>
      <c r="AI115" s="2332"/>
      <c r="AJ115" s="2443" t="s">
        <v>112</v>
      </c>
      <c r="AK115" s="2333"/>
      <c r="AL115" s="2113"/>
      <c r="AM115" s="2301"/>
      <c r="AN115" s="2443"/>
      <c r="AO115" s="2683" t="s">
        <v>28</v>
      </c>
      <c r="AP115" s="2365"/>
      <c r="AQ115" s="3393"/>
      <c r="AR115" s="3394"/>
      <c r="AS115" s="3395" t="s">
        <v>515</v>
      </c>
      <c r="AT115" s="3396"/>
      <c r="AU115" s="3397"/>
      <c r="AV115" s="3398"/>
      <c r="AW115" s="3399"/>
      <c r="AX115" s="3400"/>
      <c r="AY115" s="3401"/>
      <c r="AZ115" s="3402"/>
      <c r="BA115" s="3403"/>
      <c r="BB115" s="3404"/>
      <c r="BC115" s="2260"/>
      <c r="BD115" s="1648"/>
      <c r="BE115" s="1630"/>
      <c r="BF115" s="1630"/>
      <c r="BG115" s="1630"/>
      <c r="BH115" s="1630"/>
      <c r="BI115" s="1641">
        <v>0</v>
      </c>
    </row>
    <row customHeight="1" ht="14.25">
      <c r="A116" s="1369"/>
      <c r="B116" s="1369"/>
      <c r="C116" s="1369"/>
      <c r="D116" s="1369"/>
      <c r="E116" s="2265"/>
      <c r="F116" s="2265"/>
      <c r="G116" s="2265"/>
      <c r="H116" s="2265"/>
      <c r="I116" s="2292"/>
      <c r="J116" s="2292"/>
      <c r="K116" s="2262"/>
      <c r="L116" s="1375"/>
      <c r="M116" s="1782"/>
      <c r="N116" s="1782"/>
      <c r="O116" s="1782"/>
      <c r="P116" s="2380"/>
      <c r="Q116" s="2380"/>
      <c r="R116" s="2353"/>
      <c r="S116" s="2348"/>
      <c r="T116" s="2367"/>
      <c r="U116" s="306"/>
      <c r="V116" s="3405"/>
      <c r="W116" s="3406"/>
      <c r="X116" s="3407"/>
      <c r="Y116" s="3408"/>
      <c r="Z116" s="3409"/>
      <c r="AA116" s="3410"/>
      <c r="AB116" s="3411"/>
      <c r="AC116" s="3412"/>
      <c r="AD116" s="2192"/>
      <c r="AE116" s="2332"/>
      <c r="AF116" s="2443"/>
      <c r="AG116" s="2369"/>
      <c r="AH116" s="2113"/>
      <c r="AI116" s="2332"/>
      <c r="AJ116" s="2443" t="s">
        <v>112</v>
      </c>
      <c r="AK116" s="2333"/>
      <c r="AL116" s="2113"/>
      <c r="AM116" s="3413"/>
      <c r="AN116" s="3414"/>
      <c r="AO116" s="3415" t="s">
        <v>516</v>
      </c>
      <c r="AP116" s="3416"/>
      <c r="AQ116" s="3417"/>
      <c r="AR116" s="3418"/>
      <c r="AS116" s="3419"/>
      <c r="AT116" s="3420"/>
      <c r="AU116" s="3421"/>
      <c r="AV116" s="3422"/>
      <c r="AW116" s="3423"/>
      <c r="AX116" s="3424"/>
      <c r="AY116" s="3425"/>
      <c r="AZ116" s="3426"/>
      <c r="BA116" s="3427"/>
      <c r="BB116" s="3428"/>
      <c r="BC116" s="2260"/>
      <c r="BD116" s="1648"/>
      <c r="BE116" s="1630"/>
      <c r="BF116" s="1630"/>
      <c r="BG116" s="1630"/>
      <c r="BH116" s="1630"/>
      <c r="BI116" s="1641">
        <v>0</v>
      </c>
    </row>
    <row customHeight="1" ht="14.25">
      <c r="A117" s="1369"/>
      <c r="B117" s="1369"/>
      <c r="C117" s="1369"/>
      <c r="D117" s="1369"/>
      <c r="E117" s="2265"/>
      <c r="F117" s="2265"/>
      <c r="G117" s="2265"/>
      <c r="H117" s="2265"/>
      <c r="I117" s="2292"/>
      <c r="J117" s="2292"/>
      <c r="K117" s="2262" t="str">
        <f>S110&amp;".1"</f>
        <v>.1</v>
      </c>
      <c r="L117" s="1375"/>
      <c r="M117" s="1782"/>
      <c r="N117" s="1782"/>
      <c r="O117" s="1782"/>
      <c r="P117" s="2380"/>
      <c r="Q117" s="2380"/>
      <c r="R117" s="2353">
        <v>1</v>
      </c>
      <c r="S117" s="2347" t="str">
        <f>$K117</f>
        <v>.1</v>
      </c>
      <c r="T117" s="2366"/>
      <c r="U117" s="306"/>
      <c r="V117" s="757"/>
      <c r="W117" s="1263"/>
      <c r="X117" s="757"/>
      <c r="Y117" s="1263"/>
      <c r="Z117" s="2608"/>
      <c r="AA117" s="2113" t="s">
        <v>62</v>
      </c>
      <c r="AB117" s="2608"/>
      <c r="AC117" s="2113" t="s">
        <v>62</v>
      </c>
      <c r="AD117" s="2191" t="s">
        <v>62</v>
      </c>
      <c r="AE117" s="2332"/>
      <c r="AF117" s="2443">
        <v>1</v>
      </c>
      <c r="AG117" s="2369"/>
      <c r="AH117" s="2113" t="s">
        <v>62</v>
      </c>
      <c r="AI117" s="689" t="s">
        <v>253</v>
      </c>
      <c r="AJ117" s="2443" t="s">
        <v>92</v>
      </c>
      <c r="AK117" s="2333" t="s">
        <v>535</v>
      </c>
      <c r="AL117" s="2113" t="s">
        <v>19</v>
      </c>
      <c r="AM117" s="2300"/>
      <c r="AN117" s="2443">
        <v>1</v>
      </c>
      <c r="AO117" s="2683" t="s">
        <v>28</v>
      </c>
      <c r="AP117" s="2364" t="s">
        <v>62</v>
      </c>
      <c r="AQ117" s="317"/>
      <c r="AR117" s="2443">
        <v>1</v>
      </c>
      <c r="AS117" s="2582" t="s">
        <v>530</v>
      </c>
      <c r="AT117" s="757"/>
      <c r="AU117" s="1263"/>
      <c r="AV117" s="757"/>
      <c r="AW117" s="1263">
        <v>9174.26</v>
      </c>
      <c r="AX117" s="2608">
        <v>46023.616273148145</v>
      </c>
      <c r="AY117" s="2113" t="s">
        <v>62</v>
      </c>
      <c r="AZ117" s="2608">
        <v>46387.628703703704</v>
      </c>
      <c r="BA117" s="2113" t="s">
        <v>62</v>
      </c>
      <c r="BB117" s="1354"/>
      <c r="BC117" s="2259" t="s">
        <v>514</v>
      </c>
      <c r="BD117" s="1648"/>
      <c r="BE117" s="1630"/>
      <c r="BF117" s="1630" t="str">
        <f>IF(T117="","",T117)</f>
        <v/>
      </c>
      <c r="BG117" s="1630"/>
      <c r="BH117" s="1630"/>
      <c r="BI117" s="1641">
        <v>0</v>
      </c>
    </row>
    <row customHeight="1" ht="14.25">
      <c r="A118" s="1369"/>
      <c r="B118" s="1369"/>
      <c r="C118" s="1369"/>
      <c r="D118" s="1369"/>
      <c r="E118" s="2265"/>
      <c r="F118" s="2265"/>
      <c r="G118" s="2265"/>
      <c r="H118" s="2265"/>
      <c r="I118" s="2292"/>
      <c r="J118" s="2292"/>
      <c r="K118" s="2262" t="str">
        <f>S114&amp;".1"</f>
        <v>.1.1</v>
      </c>
      <c r="L118" s="1375"/>
      <c r="M118" s="1782"/>
      <c r="N118" s="1782"/>
      <c r="O118" s="1782"/>
      <c r="P118" s="2380"/>
      <c r="Q118" s="2380"/>
      <c r="R118" s="2353">
        <v>1</v>
      </c>
      <c r="S118" s="2347" t="str">
        <f>$K118</f>
        <v>.1.1</v>
      </c>
      <c r="T118" s="2366"/>
      <c r="U118" s="306"/>
      <c r="V118" s="757"/>
      <c r="W118" s="1263"/>
      <c r="X118" s="757"/>
      <c r="Y118" s="1263"/>
      <c r="Z118" s="2608"/>
      <c r="AA118" s="2113" t="s">
        <v>62</v>
      </c>
      <c r="AB118" s="2608"/>
      <c r="AC118" s="2113" t="s">
        <v>62</v>
      </c>
      <c r="AD118" s="2191" t="s">
        <v>62</v>
      </c>
      <c r="AE118" s="2332"/>
      <c r="AF118" s="2443">
        <v>1</v>
      </c>
      <c r="AG118" s="2369"/>
      <c r="AH118" s="2113" t="s">
        <v>62</v>
      </c>
      <c r="AI118" s="2332"/>
      <c r="AJ118" s="2443">
        <v>1</v>
      </c>
      <c r="AK118" s="2333" t="s">
        <v>28</v>
      </c>
      <c r="AL118" s="2113" t="s">
        <v>62</v>
      </c>
      <c r="AM118" s="2300"/>
      <c r="AN118" s="2443">
        <v>1</v>
      </c>
      <c r="AO118" s="2363"/>
      <c r="AP118" s="2364" t="s">
        <v>62</v>
      </c>
      <c r="AQ118" s="689" t="s">
        <v>253</v>
      </c>
      <c r="AR118" s="2443" t="s">
        <v>112</v>
      </c>
      <c r="AS118" s="2582" t="s">
        <v>530</v>
      </c>
      <c r="AT118" s="757"/>
      <c r="AU118" s="1263"/>
      <c r="AV118" s="757"/>
      <c r="AW118" s="1263">
        <v>11896.25</v>
      </c>
      <c r="AX118" s="2608">
        <v>46023.616319444445</v>
      </c>
      <c r="AY118" s="2113" t="s">
        <v>62</v>
      </c>
      <c r="AZ118" s="2608">
        <v>46387.62880787037</v>
      </c>
      <c r="BA118" s="2113" t="s">
        <v>62</v>
      </c>
      <c r="BB118" s="1354"/>
      <c r="BC118" s="2259" t="s">
        <v>514</v>
      </c>
      <c r="BD118" s="1648"/>
      <c r="BE118" s="1630"/>
      <c r="BF118" s="1630" t="str">
        <f>IF(T118="","",T118)</f>
        <v/>
      </c>
      <c r="BG118" s="1630"/>
      <c r="BH118" s="1630"/>
      <c r="BI118" s="1641">
        <v>0</v>
      </c>
    </row>
    <row customHeight="1" ht="14.25">
      <c r="A119" s="1369"/>
      <c r="B119" s="1369"/>
      <c r="C119" s="1369"/>
      <c r="D119" s="1369"/>
      <c r="E119" s="2265"/>
      <c r="F119" s="2265"/>
      <c r="G119" s="2265"/>
      <c r="H119" s="2265"/>
      <c r="I119" s="2292"/>
      <c r="J119" s="2292"/>
      <c r="K119" s="2262" t="str">
        <f>S115&amp;".1"</f>
        <v>.1</v>
      </c>
      <c r="L119" s="1375"/>
      <c r="M119" s="1782"/>
      <c r="N119" s="1782"/>
      <c r="O119" s="1782"/>
      <c r="P119" s="2380"/>
      <c r="Q119" s="2380"/>
      <c r="R119" s="2353">
        <v>1</v>
      </c>
      <c r="S119" s="2347" t="str">
        <f>$K119</f>
        <v>.1</v>
      </c>
      <c r="T119" s="2366"/>
      <c r="U119" s="306"/>
      <c r="V119" s="757"/>
      <c r="W119" s="1263"/>
      <c r="X119" s="757"/>
      <c r="Y119" s="1263"/>
      <c r="Z119" s="2608"/>
      <c r="AA119" s="2113" t="s">
        <v>62</v>
      </c>
      <c r="AB119" s="2608"/>
      <c r="AC119" s="2113" t="s">
        <v>62</v>
      </c>
      <c r="AD119" s="2191" t="s">
        <v>62</v>
      </c>
      <c r="AE119" s="2332"/>
      <c r="AF119" s="2443">
        <v>1</v>
      </c>
      <c r="AG119" s="2369"/>
      <c r="AH119" s="2113" t="s">
        <v>62</v>
      </c>
      <c r="AI119" s="2332"/>
      <c r="AJ119" s="2443">
        <v>1</v>
      </c>
      <c r="AK119" s="2333" t="s">
        <v>28</v>
      </c>
      <c r="AL119" s="2113" t="s">
        <v>62</v>
      </c>
      <c r="AM119" s="2300"/>
      <c r="AN119" s="2443">
        <v>1</v>
      </c>
      <c r="AO119" s="2363"/>
      <c r="AP119" s="2364" t="s">
        <v>62</v>
      </c>
      <c r="AQ119" s="689" t="s">
        <v>253</v>
      </c>
      <c r="AR119" s="2443" t="s">
        <v>91</v>
      </c>
      <c r="AS119" s="2582" t="s">
        <v>530</v>
      </c>
      <c r="AT119" s="757"/>
      <c r="AU119" s="1263"/>
      <c r="AV119" s="757"/>
      <c r="AW119" s="1263">
        <v>9464.21</v>
      </c>
      <c r="AX119" s="2608">
        <v>46023.61636574074</v>
      </c>
      <c r="AY119" s="2113" t="s">
        <v>62</v>
      </c>
      <c r="AZ119" s="2608">
        <v>46387.628900462965</v>
      </c>
      <c r="BA119" s="2113" t="s">
        <v>62</v>
      </c>
      <c r="BB119" s="1354"/>
      <c r="BC119" s="2259" t="s">
        <v>514</v>
      </c>
      <c r="BD119" s="1648"/>
      <c r="BE119" s="1630"/>
      <c r="BF119" s="1630" t="str">
        <f>IF(T119="","",T119)</f>
        <v/>
      </c>
      <c r="BG119" s="1630"/>
      <c r="BH119" s="1630"/>
      <c r="BI119" s="1641">
        <v>0</v>
      </c>
    </row>
    <row customHeight="1" ht="14.25">
      <c r="A120" s="1369"/>
      <c r="B120" s="1369"/>
      <c r="C120" s="1369"/>
      <c r="D120" s="1369"/>
      <c r="E120" s="2265"/>
      <c r="F120" s="2265"/>
      <c r="G120" s="2265"/>
      <c r="H120" s="2265"/>
      <c r="I120" s="2292"/>
      <c r="J120" s="2292"/>
      <c r="K120" s="2262" t="str">
        <f>S116&amp;".1"</f>
        <v>.1</v>
      </c>
      <c r="L120" s="1375"/>
      <c r="M120" s="1782"/>
      <c r="N120" s="1782"/>
      <c r="O120" s="1782"/>
      <c r="P120" s="2380"/>
      <c r="Q120" s="2380"/>
      <c r="R120" s="2353">
        <v>1</v>
      </c>
      <c r="S120" s="2347" t="str">
        <f>$K120</f>
        <v>.1</v>
      </c>
      <c r="T120" s="2366"/>
      <c r="U120" s="306"/>
      <c r="V120" s="757"/>
      <c r="W120" s="1263"/>
      <c r="X120" s="757"/>
      <c r="Y120" s="1263"/>
      <c r="Z120" s="2608"/>
      <c r="AA120" s="2113" t="s">
        <v>62</v>
      </c>
      <c r="AB120" s="2608"/>
      <c r="AC120" s="2113" t="s">
        <v>62</v>
      </c>
      <c r="AD120" s="2191" t="s">
        <v>62</v>
      </c>
      <c r="AE120" s="2332"/>
      <c r="AF120" s="2443">
        <v>1</v>
      </c>
      <c r="AG120" s="2369"/>
      <c r="AH120" s="2113" t="s">
        <v>62</v>
      </c>
      <c r="AI120" s="2332"/>
      <c r="AJ120" s="2443">
        <v>1</v>
      </c>
      <c r="AK120" s="2333" t="s">
        <v>28</v>
      </c>
      <c r="AL120" s="2113" t="s">
        <v>62</v>
      </c>
      <c r="AM120" s="2300"/>
      <c r="AN120" s="2443">
        <v>1</v>
      </c>
      <c r="AO120" s="2363"/>
      <c r="AP120" s="2364" t="s">
        <v>62</v>
      </c>
      <c r="AQ120" s="689" t="s">
        <v>253</v>
      </c>
      <c r="AR120" s="2443" t="s">
        <v>92</v>
      </c>
      <c r="AS120" s="2582" t="s">
        <v>530</v>
      </c>
      <c r="AT120" s="757"/>
      <c r="AU120" s="1263"/>
      <c r="AV120" s="757"/>
      <c r="AW120" s="1263">
        <v>12244.66</v>
      </c>
      <c r="AX120" s="2608">
        <v>46023.61641203704</v>
      </c>
      <c r="AY120" s="2113" t="s">
        <v>62</v>
      </c>
      <c r="AZ120" s="2608">
        <v>46387.62898148148</v>
      </c>
      <c r="BA120" s="2113" t="s">
        <v>62</v>
      </c>
      <c r="BB120" s="1354"/>
      <c r="BC120" s="2259" t="s">
        <v>514</v>
      </c>
      <c r="BD120" s="1648"/>
      <c r="BE120" s="1630"/>
      <c r="BF120" s="1630" t="str">
        <f>IF(T120="","",T120)</f>
        <v/>
      </c>
      <c r="BG120" s="1630"/>
      <c r="BH120" s="1630"/>
      <c r="BI120" s="1641">
        <v>0</v>
      </c>
    </row>
    <row customHeight="1" ht="14.25">
      <c r="A121" s="1369"/>
      <c r="B121" s="1369"/>
      <c r="C121" s="1369"/>
      <c r="D121" s="1369"/>
      <c r="E121" s="2265"/>
      <c r="F121" s="2265"/>
      <c r="G121" s="2265"/>
      <c r="H121" s="2265"/>
      <c r="I121" s="2292"/>
      <c r="J121" s="2292"/>
      <c r="K121" s="2262"/>
      <c r="L121" s="1375"/>
      <c r="M121" s="1782"/>
      <c r="N121" s="1782"/>
      <c r="O121" s="1782"/>
      <c r="P121" s="2380"/>
      <c r="Q121" s="2380"/>
      <c r="R121" s="2353"/>
      <c r="S121" s="2348"/>
      <c r="T121" s="2367"/>
      <c r="U121" s="306"/>
      <c r="V121" s="3429"/>
      <c r="W121" s="3430"/>
      <c r="X121" s="3431"/>
      <c r="Y121" s="3432"/>
      <c r="Z121" s="3433"/>
      <c r="AA121" s="3434"/>
      <c r="AB121" s="3435"/>
      <c r="AC121" s="3436"/>
      <c r="AD121" s="2192"/>
      <c r="AE121" s="2332"/>
      <c r="AF121" s="2443"/>
      <c r="AG121" s="2369"/>
      <c r="AH121" s="2113"/>
      <c r="AI121" s="2332"/>
      <c r="AJ121" s="2443" t="s">
        <v>91</v>
      </c>
      <c r="AK121" s="2333"/>
      <c r="AL121" s="2113"/>
      <c r="AM121" s="2301"/>
      <c r="AN121" s="2443"/>
      <c r="AO121" s="2683" t="s">
        <v>28</v>
      </c>
      <c r="AP121" s="2365"/>
      <c r="AQ121" s="3437"/>
      <c r="AR121" s="3438"/>
      <c r="AS121" s="3439" t="s">
        <v>515</v>
      </c>
      <c r="AT121" s="3440"/>
      <c r="AU121" s="3441"/>
      <c r="AV121" s="3442"/>
      <c r="AW121" s="3443"/>
      <c r="AX121" s="3444"/>
      <c r="AY121" s="3445"/>
      <c r="AZ121" s="3446"/>
      <c r="BA121" s="3447"/>
      <c r="BB121" s="3448"/>
      <c r="BC121" s="2260"/>
      <c r="BD121" s="1648"/>
      <c r="BE121" s="1630"/>
      <c r="BF121" s="1630"/>
      <c r="BG121" s="1630"/>
      <c r="BH121" s="1630"/>
      <c r="BI121" s="1641">
        <v>0</v>
      </c>
    </row>
    <row customHeight="1" ht="14.25">
      <c r="A122" s="1369"/>
      <c r="B122" s="1369"/>
      <c r="C122" s="1369"/>
      <c r="D122" s="1369"/>
      <c r="E122" s="2265"/>
      <c r="F122" s="2265"/>
      <c r="G122" s="2265"/>
      <c r="H122" s="2265"/>
      <c r="I122" s="2292"/>
      <c r="J122" s="2292"/>
      <c r="K122" s="2262"/>
      <c r="L122" s="1375"/>
      <c r="M122" s="1782"/>
      <c r="N122" s="1782"/>
      <c r="O122" s="1782"/>
      <c r="P122" s="2380"/>
      <c r="Q122" s="2380"/>
      <c r="R122" s="2353"/>
      <c r="S122" s="2348"/>
      <c r="T122" s="2367"/>
      <c r="U122" s="306"/>
      <c r="V122" s="3449"/>
      <c r="W122" s="3450"/>
      <c r="X122" s="3451"/>
      <c r="Y122" s="3452"/>
      <c r="Z122" s="3453"/>
      <c r="AA122" s="3454"/>
      <c r="AB122" s="3455"/>
      <c r="AC122" s="3456"/>
      <c r="AD122" s="2192"/>
      <c r="AE122" s="2332"/>
      <c r="AF122" s="2443"/>
      <c r="AG122" s="2369"/>
      <c r="AH122" s="2113"/>
      <c r="AI122" s="2332"/>
      <c r="AJ122" s="2443" t="s">
        <v>91</v>
      </c>
      <c r="AK122" s="2333"/>
      <c r="AL122" s="2113"/>
      <c r="AM122" s="3457"/>
      <c r="AN122" s="3458"/>
      <c r="AO122" s="3459" t="s">
        <v>516</v>
      </c>
      <c r="AP122" s="3460"/>
      <c r="AQ122" s="3461"/>
      <c r="AR122" s="3462"/>
      <c r="AS122" s="3463"/>
      <c r="AT122" s="3464"/>
      <c r="AU122" s="3465"/>
      <c r="AV122" s="3466"/>
      <c r="AW122" s="3467"/>
      <c r="AX122" s="3468"/>
      <c r="AY122" s="3469"/>
      <c r="AZ122" s="3470"/>
      <c r="BA122" s="3471"/>
      <c r="BB122" s="3472"/>
      <c r="BC122" s="2260"/>
      <c r="BD122" s="1648"/>
      <c r="BE122" s="1630"/>
      <c r="BF122" s="1630"/>
      <c r="BG122" s="1630"/>
      <c r="BH122" s="1630"/>
      <c r="BI122" s="1641">
        <v>0</v>
      </c>
    </row>
    <row customHeight="1" ht="14.25">
      <c r="A123" s="1369"/>
      <c r="B123" s="1369"/>
      <c r="C123" s="1369"/>
      <c r="D123" s="1369"/>
      <c r="E123" s="2265"/>
      <c r="F123" s="2265"/>
      <c r="G123" s="2265"/>
      <c r="H123" s="2265"/>
      <c r="I123" s="2292"/>
      <c r="J123" s="2292"/>
      <c r="K123" s="2262" t="str">
        <f>S116&amp;".1"</f>
        <v>.1</v>
      </c>
      <c r="L123" s="1375"/>
      <c r="M123" s="1782"/>
      <c r="N123" s="1782"/>
      <c r="O123" s="1782"/>
      <c r="P123" s="2380"/>
      <c r="Q123" s="2380"/>
      <c r="R123" s="2353">
        <v>1</v>
      </c>
      <c r="S123" s="2347" t="str">
        <f>$K123</f>
        <v>.1</v>
      </c>
      <c r="T123" s="2366"/>
      <c r="U123" s="306"/>
      <c r="V123" s="757"/>
      <c r="W123" s="1263"/>
      <c r="X123" s="757"/>
      <c r="Y123" s="1263"/>
      <c r="Z123" s="2608"/>
      <c r="AA123" s="2113" t="s">
        <v>62</v>
      </c>
      <c r="AB123" s="2608"/>
      <c r="AC123" s="2113" t="s">
        <v>62</v>
      </c>
      <c r="AD123" s="2191" t="s">
        <v>62</v>
      </c>
      <c r="AE123" s="2332"/>
      <c r="AF123" s="2443">
        <v>1</v>
      </c>
      <c r="AG123" s="2369"/>
      <c r="AH123" s="2113" t="s">
        <v>62</v>
      </c>
      <c r="AI123" s="689" t="s">
        <v>253</v>
      </c>
      <c r="AJ123" s="2443" t="s">
        <v>113</v>
      </c>
      <c r="AK123" s="2333" t="s">
        <v>536</v>
      </c>
      <c r="AL123" s="2113" t="s">
        <v>19</v>
      </c>
      <c r="AM123" s="2300"/>
      <c r="AN123" s="2443">
        <v>1</v>
      </c>
      <c r="AO123" s="2683" t="s">
        <v>28</v>
      </c>
      <c r="AP123" s="2364" t="s">
        <v>62</v>
      </c>
      <c r="AQ123" s="317"/>
      <c r="AR123" s="2443">
        <v>1</v>
      </c>
      <c r="AS123" s="2582" t="s">
        <v>530</v>
      </c>
      <c r="AT123" s="757"/>
      <c r="AU123" s="1263"/>
      <c r="AV123" s="757"/>
      <c r="AW123" s="1263">
        <v>12973.51</v>
      </c>
      <c r="AX123" s="2608">
        <v>46023.61707175926</v>
      </c>
      <c r="AY123" s="2113" t="s">
        <v>62</v>
      </c>
      <c r="AZ123" s="2608">
        <v>46387.62907407407</v>
      </c>
      <c r="BA123" s="2113" t="s">
        <v>62</v>
      </c>
      <c r="BB123" s="1354"/>
      <c r="BC123" s="2259" t="s">
        <v>514</v>
      </c>
      <c r="BD123" s="1648"/>
      <c r="BE123" s="1630"/>
      <c r="BF123" s="1630" t="str">
        <f>IF(T123="","",T123)</f>
        <v/>
      </c>
      <c r="BG123" s="1630"/>
      <c r="BH123" s="1630"/>
      <c r="BI123" s="1641">
        <v>0</v>
      </c>
    </row>
    <row customHeight="1" ht="14.25">
      <c r="A124" s="1369"/>
      <c r="B124" s="1369"/>
      <c r="C124" s="1369"/>
      <c r="D124" s="1369"/>
      <c r="E124" s="2265"/>
      <c r="F124" s="2265"/>
      <c r="G124" s="2265"/>
      <c r="H124" s="2265"/>
      <c r="I124" s="2292"/>
      <c r="J124" s="2292"/>
      <c r="K124" s="2262" t="str">
        <f>S120&amp;".1"</f>
        <v>.1.1</v>
      </c>
      <c r="L124" s="1375"/>
      <c r="M124" s="1782"/>
      <c r="N124" s="1782"/>
      <c r="O124" s="1782"/>
      <c r="P124" s="2380"/>
      <c r="Q124" s="2380"/>
      <c r="R124" s="2353">
        <v>1</v>
      </c>
      <c r="S124" s="2347" t="str">
        <f>$K124</f>
        <v>.1.1</v>
      </c>
      <c r="T124" s="2366"/>
      <c r="U124" s="306"/>
      <c r="V124" s="757"/>
      <c r="W124" s="1263"/>
      <c r="X124" s="757"/>
      <c r="Y124" s="1263"/>
      <c r="Z124" s="2608"/>
      <c r="AA124" s="2113" t="s">
        <v>62</v>
      </c>
      <c r="AB124" s="2608"/>
      <c r="AC124" s="2113" t="s">
        <v>62</v>
      </c>
      <c r="AD124" s="2191" t="s">
        <v>62</v>
      </c>
      <c r="AE124" s="2332"/>
      <c r="AF124" s="2443">
        <v>1</v>
      </c>
      <c r="AG124" s="2369"/>
      <c r="AH124" s="2113" t="s">
        <v>62</v>
      </c>
      <c r="AI124" s="2332"/>
      <c r="AJ124" s="2443">
        <v>1</v>
      </c>
      <c r="AK124" s="2333" t="s">
        <v>28</v>
      </c>
      <c r="AL124" s="2113" t="s">
        <v>62</v>
      </c>
      <c r="AM124" s="2300"/>
      <c r="AN124" s="2443">
        <v>1</v>
      </c>
      <c r="AO124" s="2363"/>
      <c r="AP124" s="2364" t="s">
        <v>62</v>
      </c>
      <c r="AQ124" s="689" t="s">
        <v>253</v>
      </c>
      <c r="AR124" s="2443" t="s">
        <v>112</v>
      </c>
      <c r="AS124" s="2582" t="s">
        <v>530</v>
      </c>
      <c r="AT124" s="757"/>
      <c r="AU124" s="1263"/>
      <c r="AV124" s="757"/>
      <c r="AW124" s="1263">
        <v>15871.97</v>
      </c>
      <c r="AX124" s="2608">
        <v>46023.617106481484</v>
      </c>
      <c r="AY124" s="2113" t="s">
        <v>62</v>
      </c>
      <c r="AZ124" s="2608">
        <v>46387.63010416667</v>
      </c>
      <c r="BA124" s="2113" t="s">
        <v>62</v>
      </c>
      <c r="BB124" s="1354"/>
      <c r="BC124" s="2259" t="s">
        <v>514</v>
      </c>
      <c r="BD124" s="1648"/>
      <c r="BE124" s="1630"/>
      <c r="BF124" s="1630" t="str">
        <f>IF(T124="","",T124)</f>
        <v/>
      </c>
      <c r="BG124" s="1630"/>
      <c r="BH124" s="1630"/>
      <c r="BI124" s="1641">
        <v>0</v>
      </c>
    </row>
    <row customHeight="1" ht="14.25">
      <c r="A125" s="1369"/>
      <c r="B125" s="1369"/>
      <c r="C125" s="1369"/>
      <c r="D125" s="1369"/>
      <c r="E125" s="2265"/>
      <c r="F125" s="2265"/>
      <c r="G125" s="2265"/>
      <c r="H125" s="2265"/>
      <c r="I125" s="2292"/>
      <c r="J125" s="2292"/>
      <c r="K125" s="2262"/>
      <c r="L125" s="1375"/>
      <c r="M125" s="1782"/>
      <c r="N125" s="1782"/>
      <c r="O125" s="1782"/>
      <c r="P125" s="2380"/>
      <c r="Q125" s="2380"/>
      <c r="R125" s="2353"/>
      <c r="S125" s="2348"/>
      <c r="T125" s="2367"/>
      <c r="U125" s="306"/>
      <c r="V125" s="3473"/>
      <c r="W125" s="3474"/>
      <c r="X125" s="3475"/>
      <c r="Y125" s="3476"/>
      <c r="Z125" s="3477"/>
      <c r="AA125" s="3478"/>
      <c r="AB125" s="3479"/>
      <c r="AC125" s="3480"/>
      <c r="AD125" s="2192"/>
      <c r="AE125" s="2332"/>
      <c r="AF125" s="2443"/>
      <c r="AG125" s="2369"/>
      <c r="AH125" s="2113"/>
      <c r="AI125" s="2332"/>
      <c r="AJ125" s="2443" t="s">
        <v>92</v>
      </c>
      <c r="AK125" s="2333"/>
      <c r="AL125" s="2113"/>
      <c r="AM125" s="2301"/>
      <c r="AN125" s="2443"/>
      <c r="AO125" s="2683" t="s">
        <v>28</v>
      </c>
      <c r="AP125" s="2365"/>
      <c r="AQ125" s="3481"/>
      <c r="AR125" s="3482"/>
      <c r="AS125" s="3483" t="s">
        <v>515</v>
      </c>
      <c r="AT125" s="3484"/>
      <c r="AU125" s="3485"/>
      <c r="AV125" s="3486"/>
      <c r="AW125" s="3487"/>
      <c r="AX125" s="3488"/>
      <c r="AY125" s="3489"/>
      <c r="AZ125" s="3490"/>
      <c r="BA125" s="3491"/>
      <c r="BB125" s="3492"/>
      <c r="BC125" s="2260"/>
      <c r="BD125" s="1648"/>
      <c r="BE125" s="1630"/>
      <c r="BF125" s="1630"/>
      <c r="BG125" s="1630"/>
      <c r="BH125" s="1630"/>
      <c r="BI125" s="1641">
        <v>0</v>
      </c>
    </row>
    <row customHeight="1" ht="14.25">
      <c r="A126" s="1369"/>
      <c r="B126" s="1369"/>
      <c r="C126" s="1369"/>
      <c r="D126" s="1369"/>
      <c r="E126" s="2265"/>
      <c r="F126" s="2265"/>
      <c r="G126" s="2265"/>
      <c r="H126" s="2265"/>
      <c r="I126" s="2292"/>
      <c r="J126" s="2292"/>
      <c r="K126" s="2262"/>
      <c r="L126" s="1375"/>
      <c r="M126" s="1782"/>
      <c r="N126" s="1782"/>
      <c r="O126" s="1782"/>
      <c r="P126" s="2380"/>
      <c r="Q126" s="2380"/>
      <c r="R126" s="2353"/>
      <c r="S126" s="2348"/>
      <c r="T126" s="2367"/>
      <c r="U126" s="306"/>
      <c r="V126" s="3493"/>
      <c r="W126" s="3494"/>
      <c r="X126" s="3495"/>
      <c r="Y126" s="3496"/>
      <c r="Z126" s="3497"/>
      <c r="AA126" s="3498"/>
      <c r="AB126" s="3499"/>
      <c r="AC126" s="3500"/>
      <c r="AD126" s="2192"/>
      <c r="AE126" s="2332"/>
      <c r="AF126" s="2443"/>
      <c r="AG126" s="2369"/>
      <c r="AH126" s="2113"/>
      <c r="AI126" s="2332"/>
      <c r="AJ126" s="2443" t="s">
        <v>92</v>
      </c>
      <c r="AK126" s="2333"/>
      <c r="AL126" s="2113"/>
      <c r="AM126" s="3501"/>
      <c r="AN126" s="3502"/>
      <c r="AO126" s="3503" t="s">
        <v>516</v>
      </c>
      <c r="AP126" s="3504"/>
      <c r="AQ126" s="3505"/>
      <c r="AR126" s="3506"/>
      <c r="AS126" s="3507"/>
      <c r="AT126" s="3508"/>
      <c r="AU126" s="3509"/>
      <c r="AV126" s="3510"/>
      <c r="AW126" s="3511"/>
      <c r="AX126" s="3512"/>
      <c r="AY126" s="3513"/>
      <c r="AZ126" s="3514"/>
      <c r="BA126" s="3515"/>
      <c r="BB126" s="3516"/>
      <c r="BC126" s="2260"/>
      <c r="BD126" s="1648"/>
      <c r="BE126" s="1630"/>
      <c r="BF126" s="1630"/>
      <c r="BG126" s="1630"/>
      <c r="BH126" s="1630"/>
      <c r="BI126" s="1641">
        <v>0</v>
      </c>
    </row>
    <row customHeight="1" ht="14.25">
      <c r="A127" s="1369"/>
      <c r="B127" s="1369"/>
      <c r="C127" s="1369"/>
      <c r="D127" s="1369"/>
      <c r="E127" s="2265"/>
      <c r="F127" s="2265"/>
      <c r="G127" s="2265"/>
      <c r="H127" s="2265"/>
      <c r="I127" s="2292"/>
      <c r="J127" s="2292"/>
      <c r="K127" s="2262" t="str">
        <f>S122&amp;".1"</f>
        <v>.1</v>
      </c>
      <c r="L127" s="1375"/>
      <c r="M127" s="1782"/>
      <c r="N127" s="1782"/>
      <c r="O127" s="1782"/>
      <c r="P127" s="2380"/>
      <c r="Q127" s="2380"/>
      <c r="R127" s="2353">
        <v>1</v>
      </c>
      <c r="S127" s="2347" t="str">
        <f>$K127</f>
        <v>.1</v>
      </c>
      <c r="T127" s="2366"/>
      <c r="U127" s="306"/>
      <c r="V127" s="757"/>
      <c r="W127" s="1263"/>
      <c r="X127" s="757"/>
      <c r="Y127" s="1263"/>
      <c r="Z127" s="2608"/>
      <c r="AA127" s="2113" t="s">
        <v>62</v>
      </c>
      <c r="AB127" s="2608"/>
      <c r="AC127" s="2113" t="s">
        <v>62</v>
      </c>
      <c r="AD127" s="2191" t="s">
        <v>62</v>
      </c>
      <c r="AE127" s="2332"/>
      <c r="AF127" s="2443">
        <v>1</v>
      </c>
      <c r="AG127" s="2369"/>
      <c r="AH127" s="2113" t="s">
        <v>62</v>
      </c>
      <c r="AI127" s="689" t="s">
        <v>253</v>
      </c>
      <c r="AJ127" s="2443" t="s">
        <v>93</v>
      </c>
      <c r="AK127" s="2333" t="s">
        <v>537</v>
      </c>
      <c r="AL127" s="2113" t="s">
        <v>19</v>
      </c>
      <c r="AM127" s="2300"/>
      <c r="AN127" s="2443">
        <v>1</v>
      </c>
      <c r="AO127" s="2683" t="s">
        <v>28</v>
      </c>
      <c r="AP127" s="2364" t="s">
        <v>62</v>
      </c>
      <c r="AQ127" s="317"/>
      <c r="AR127" s="2443">
        <v>1</v>
      </c>
      <c r="AS127" s="2582" t="s">
        <v>530</v>
      </c>
      <c r="AT127" s="757"/>
      <c r="AU127" s="1263"/>
      <c r="AV127" s="757"/>
      <c r="AW127" s="1263">
        <v>15694.18</v>
      </c>
      <c r="AX127" s="2608">
        <v>46023.6171412037</v>
      </c>
      <c r="AY127" s="2113" t="s">
        <v>62</v>
      </c>
      <c r="AZ127" s="2608">
        <v>46387.63025462963</v>
      </c>
      <c r="BA127" s="2113" t="s">
        <v>62</v>
      </c>
      <c r="BB127" s="1354"/>
      <c r="BC127" s="2259" t="s">
        <v>514</v>
      </c>
      <c r="BD127" s="1648"/>
      <c r="BE127" s="1630"/>
      <c r="BF127" s="1630" t="str">
        <f>IF(T127="","",T127)</f>
        <v/>
      </c>
      <c r="BG127" s="1630"/>
      <c r="BH127" s="1630"/>
      <c r="BI127" s="1641">
        <v>0</v>
      </c>
    </row>
    <row customHeight="1" ht="14.25">
      <c r="A128" s="1369"/>
      <c r="B128" s="1369"/>
      <c r="C128" s="1369"/>
      <c r="D128" s="1369"/>
      <c r="E128" s="2265"/>
      <c r="F128" s="2265"/>
      <c r="G128" s="2265"/>
      <c r="H128" s="2265"/>
      <c r="I128" s="2292"/>
      <c r="J128" s="2292"/>
      <c r="K128" s="2262" t="str">
        <f>S124&amp;".1"</f>
        <v>.1.1.1</v>
      </c>
      <c r="L128" s="1375"/>
      <c r="M128" s="1782"/>
      <c r="N128" s="1782"/>
      <c r="O128" s="1782"/>
      <c r="P128" s="2380"/>
      <c r="Q128" s="2380"/>
      <c r="R128" s="2353">
        <v>1</v>
      </c>
      <c r="S128" s="2347" t="str">
        <f>$K128</f>
        <v>.1.1.1</v>
      </c>
      <c r="T128" s="2366"/>
      <c r="U128" s="306"/>
      <c r="V128" s="757"/>
      <c r="W128" s="1263"/>
      <c r="X128" s="757"/>
      <c r="Y128" s="1263"/>
      <c r="Z128" s="2608"/>
      <c r="AA128" s="2113" t="s">
        <v>62</v>
      </c>
      <c r="AB128" s="2608"/>
      <c r="AC128" s="2113" t="s">
        <v>62</v>
      </c>
      <c r="AD128" s="2191" t="s">
        <v>62</v>
      </c>
      <c r="AE128" s="2332"/>
      <c r="AF128" s="2443">
        <v>1</v>
      </c>
      <c r="AG128" s="2369"/>
      <c r="AH128" s="2113" t="s">
        <v>62</v>
      </c>
      <c r="AI128" s="2332"/>
      <c r="AJ128" s="2443">
        <v>1</v>
      </c>
      <c r="AK128" s="2333" t="s">
        <v>28</v>
      </c>
      <c r="AL128" s="2113" t="s">
        <v>62</v>
      </c>
      <c r="AM128" s="2300"/>
      <c r="AN128" s="2443">
        <v>1</v>
      </c>
      <c r="AO128" s="2363"/>
      <c r="AP128" s="2364" t="s">
        <v>62</v>
      </c>
      <c r="AQ128" s="689" t="s">
        <v>253</v>
      </c>
      <c r="AR128" s="2443" t="s">
        <v>112</v>
      </c>
      <c r="AS128" s="2582" t="s">
        <v>530</v>
      </c>
      <c r="AT128" s="757"/>
      <c r="AU128" s="1263"/>
      <c r="AV128" s="757"/>
      <c r="AW128" s="1263">
        <v>18706.04</v>
      </c>
      <c r="AX128" s="2608">
        <v>46023.61717592592</v>
      </c>
      <c r="AY128" s="2113" t="s">
        <v>62</v>
      </c>
      <c r="AZ128" s="2608">
        <v>46387.63040509259</v>
      </c>
      <c r="BA128" s="2113" t="s">
        <v>62</v>
      </c>
      <c r="BB128" s="1354"/>
      <c r="BC128" s="2259" t="s">
        <v>514</v>
      </c>
      <c r="BD128" s="1648"/>
      <c r="BE128" s="1630"/>
      <c r="BF128" s="1630" t="str">
        <f>IF(T128="","",T128)</f>
        <v/>
      </c>
      <c r="BG128" s="1630"/>
      <c r="BH128" s="1630"/>
      <c r="BI128" s="1641">
        <v>0</v>
      </c>
    </row>
    <row customHeight="1" ht="14.25">
      <c r="A129" s="1369"/>
      <c r="B129" s="1369"/>
      <c r="C129" s="1369"/>
      <c r="D129" s="1369"/>
      <c r="E129" s="2265"/>
      <c r="F129" s="2265"/>
      <c r="G129" s="2265"/>
      <c r="H129" s="2265"/>
      <c r="I129" s="2292"/>
      <c r="J129" s="2292"/>
      <c r="K129" s="2262"/>
      <c r="L129" s="1375"/>
      <c r="M129" s="1782"/>
      <c r="N129" s="1782"/>
      <c r="O129" s="1782"/>
      <c r="P129" s="2380"/>
      <c r="Q129" s="2380"/>
      <c r="R129" s="2353"/>
      <c r="S129" s="2348"/>
      <c r="T129" s="2367"/>
      <c r="U129" s="306"/>
      <c r="V129" s="3517"/>
      <c r="W129" s="3518"/>
      <c r="X129" s="3519"/>
      <c r="Y129" s="3520"/>
      <c r="Z129" s="3521"/>
      <c r="AA129" s="3522"/>
      <c r="AB129" s="3523"/>
      <c r="AC129" s="3524"/>
      <c r="AD129" s="2192"/>
      <c r="AE129" s="2332"/>
      <c r="AF129" s="2443"/>
      <c r="AG129" s="2369"/>
      <c r="AH129" s="2113"/>
      <c r="AI129" s="2332"/>
      <c r="AJ129" s="2443" t="s">
        <v>113</v>
      </c>
      <c r="AK129" s="2333"/>
      <c r="AL129" s="2113"/>
      <c r="AM129" s="2301"/>
      <c r="AN129" s="2443"/>
      <c r="AO129" s="2683" t="s">
        <v>28</v>
      </c>
      <c r="AP129" s="2365"/>
      <c r="AQ129" s="3525"/>
      <c r="AR129" s="3526"/>
      <c r="AS129" s="3527" t="s">
        <v>515</v>
      </c>
      <c r="AT129" s="3528"/>
      <c r="AU129" s="3529"/>
      <c r="AV129" s="3530"/>
      <c r="AW129" s="3531"/>
      <c r="AX129" s="3532"/>
      <c r="AY129" s="3533"/>
      <c r="AZ129" s="3534"/>
      <c r="BA129" s="3535"/>
      <c r="BB129" s="3536"/>
      <c r="BC129" s="2260"/>
      <c r="BD129" s="1648"/>
      <c r="BE129" s="1630"/>
      <c r="BF129" s="1630"/>
      <c r="BG129" s="1630"/>
      <c r="BH129" s="1630"/>
      <c r="BI129" s="1641">
        <v>0</v>
      </c>
    </row>
    <row customHeight="1" ht="14.25">
      <c r="A130" s="1369"/>
      <c r="B130" s="1369"/>
      <c r="C130" s="1369"/>
      <c r="D130" s="1369"/>
      <c r="E130" s="2265"/>
      <c r="F130" s="2265"/>
      <c r="G130" s="2265"/>
      <c r="H130" s="2265"/>
      <c r="I130" s="2292"/>
      <c r="J130" s="2292"/>
      <c r="K130" s="2262"/>
      <c r="L130" s="1375"/>
      <c r="M130" s="1782"/>
      <c r="N130" s="1782"/>
      <c r="O130" s="1782"/>
      <c r="P130" s="2380"/>
      <c r="Q130" s="2380"/>
      <c r="R130" s="2353"/>
      <c r="S130" s="2348"/>
      <c r="T130" s="2367"/>
      <c r="U130" s="306"/>
      <c r="V130" s="3537"/>
      <c r="W130" s="3538"/>
      <c r="X130" s="3539"/>
      <c r="Y130" s="3540"/>
      <c r="Z130" s="3541"/>
      <c r="AA130" s="3542"/>
      <c r="AB130" s="3543"/>
      <c r="AC130" s="3544"/>
      <c r="AD130" s="2192"/>
      <c r="AE130" s="2332"/>
      <c r="AF130" s="2443"/>
      <c r="AG130" s="2369"/>
      <c r="AH130" s="2113"/>
      <c r="AI130" s="2332"/>
      <c r="AJ130" s="2443" t="s">
        <v>113</v>
      </c>
      <c r="AK130" s="2333"/>
      <c r="AL130" s="2113"/>
      <c r="AM130" s="3545"/>
      <c r="AN130" s="3546"/>
      <c r="AO130" s="3547" t="s">
        <v>516</v>
      </c>
      <c r="AP130" s="3548"/>
      <c r="AQ130" s="3549"/>
      <c r="AR130" s="3550"/>
      <c r="AS130" s="3551"/>
      <c r="AT130" s="3552"/>
      <c r="AU130" s="3553"/>
      <c r="AV130" s="3554"/>
      <c r="AW130" s="3555"/>
      <c r="AX130" s="3556"/>
      <c r="AY130" s="3557"/>
      <c r="AZ130" s="3558"/>
      <c r="BA130" s="3559"/>
      <c r="BB130" s="3560"/>
      <c r="BC130" s="2260"/>
      <c r="BD130" s="1648"/>
      <c r="BE130" s="1630"/>
      <c r="BF130" s="1630"/>
      <c r="BG130" s="1630"/>
      <c r="BH130" s="1630"/>
      <c r="BI130" s="1641">
        <v>0</v>
      </c>
    </row>
    <row customHeight="1" ht="14.25">
      <c r="A131" s="1369"/>
      <c r="B131" s="1369"/>
      <c r="C131" s="1369"/>
      <c r="D131" s="1369"/>
      <c r="E131" s="2265"/>
      <c r="F131" s="2265"/>
      <c r="G131" s="2265"/>
      <c r="H131" s="2265"/>
      <c r="I131" s="2292"/>
      <c r="J131" s="2292"/>
      <c r="K131" s="2262" t="str">
        <f>S65&amp;".1"</f>
        <v>2.1.1.1</v>
      </c>
      <c r="L131" s="1375"/>
      <c r="M131" s="1782"/>
      <c r="N131" s="1782"/>
      <c r="O131" s="1782"/>
      <c r="P131" s="2380"/>
      <c r="Q131" s="2380"/>
      <c r="R131" s="2353"/>
      <c r="S131" s="2348"/>
      <c r="T131" s="2367"/>
      <c r="U131" s="306"/>
      <c r="V131" s="2832"/>
      <c r="W131" s="2833"/>
      <c r="X131" s="2834"/>
      <c r="Y131" s="2835"/>
      <c r="Z131" s="2836"/>
      <c r="AA131" s="2837"/>
      <c r="AB131" s="2838"/>
      <c r="AC131" s="2839"/>
      <c r="AD131" s="2192"/>
      <c r="AE131" s="2332"/>
      <c r="AF131" s="2443"/>
      <c r="AG131" s="3339" t="s">
        <v>28</v>
      </c>
      <c r="AH131" s="2113"/>
      <c r="AI131" s="2840"/>
      <c r="AJ131" s="2841"/>
      <c r="AK131" s="2842" t="s">
        <v>517</v>
      </c>
      <c r="AL131" s="2843"/>
      <c r="AM131" s="2844"/>
      <c r="AN131" s="2845"/>
      <c r="AO131" s="2846"/>
      <c r="AP131" s="2847"/>
      <c r="AQ131" s="2848"/>
      <c r="AR131" s="2849"/>
      <c r="AS131" s="2850"/>
      <c r="AT131" s="2851"/>
      <c r="AU131" s="2852"/>
      <c r="AV131" s="2853"/>
      <c r="AW131" s="2854"/>
      <c r="AX131" s="2855"/>
      <c r="AY131" s="2856"/>
      <c r="AZ131" s="2857"/>
      <c r="BA131" s="2858"/>
      <c r="BB131" s="2859"/>
      <c r="BC131" s="2260"/>
      <c r="BD131" s="1648"/>
      <c r="BE131" s="1630"/>
      <c r="BF131" s="1630"/>
      <c r="BG131" s="1630"/>
      <c r="BH131" s="1630"/>
      <c r="BI131" s="1641">
        <v>0</v>
      </c>
    </row>
    <row customHeight="1" ht="14.25">
      <c r="A132" s="1369"/>
      <c r="B132" s="1369"/>
      <c r="C132" s="1369"/>
      <c r="D132" s="1369"/>
      <c r="E132" s="2265"/>
      <c r="F132" s="2265"/>
      <c r="G132" s="2265"/>
      <c r="H132" s="2265"/>
      <c r="I132" s="2292"/>
      <c r="J132" s="2292"/>
      <c r="K132" s="2262" t="str">
        <f>S65&amp;".1"</f>
        <v>2.1.1.1</v>
      </c>
      <c r="L132" s="1375"/>
      <c r="M132" s="1782"/>
      <c r="N132" s="1782"/>
      <c r="O132" s="1782"/>
      <c r="P132" s="2380"/>
      <c r="Q132" s="2380"/>
      <c r="R132" s="2353"/>
      <c r="S132" s="2349"/>
      <c r="T132" s="2368"/>
      <c r="U132" s="306"/>
      <c r="V132" s="2860"/>
      <c r="W132" s="2861" t="str">
        <f>Z101&amp;"-"&amp;AB101</f>
        <v>-</v>
      </c>
      <c r="X132" s="2862"/>
      <c r="Y132" s="2863" t="str">
        <f>AB101&amp;"-"&amp;AD101</f>
        <v>-нет</v>
      </c>
      <c r="Z132" s="2864"/>
      <c r="AA132" s="2865"/>
      <c r="AB132" s="2866"/>
      <c r="AC132" s="2867"/>
      <c r="AD132" s="2118"/>
      <c r="AE132" s="2868"/>
      <c r="AF132" s="2869"/>
      <c r="AG132" s="2870" t="s">
        <v>518</v>
      </c>
      <c r="AH132" s="2871"/>
      <c r="AI132" s="2872"/>
      <c r="AJ132" s="2873"/>
      <c r="AK132" s="2874"/>
      <c r="AL132" s="2875"/>
      <c r="AM132" s="2876"/>
      <c r="AN132" s="2877"/>
      <c r="AO132" s="2878"/>
      <c r="AP132" s="2879"/>
      <c r="AQ132" s="2880"/>
      <c r="AR132" s="2881"/>
      <c r="AS132" s="2882"/>
      <c r="AT132" s="2883"/>
      <c r="AU132" s="2884" t="str">
        <f>AX101&amp;"-"&amp;AZ101</f>
        <v>46023.615694444445-46387.62763888889</v>
      </c>
      <c r="AV132" s="2885"/>
      <c r="AW132" s="2886" t="str">
        <f>AZ101&amp;"-"&amp;BB101</f>
        <v>46387.62763888889-</v>
      </c>
      <c r="AX132" s="2887"/>
      <c r="AY132" s="2888"/>
      <c r="AZ132" s="2889"/>
      <c r="BA132" s="2890"/>
      <c r="BB132" s="2891" t="str">
        <f>BE101&amp;"-"&amp;BG101</f>
        <v>-</v>
      </c>
      <c r="BC132" s="2260"/>
      <c r="BD132" s="1648"/>
      <c r="BE132" s="1630"/>
      <c r="BF132" s="1630" t="str">
        <f>IF(T132="","",T132)</f>
        <v/>
      </c>
      <c r="BG132" s="1630"/>
      <c r="BH132" s="1630"/>
      <c r="BI132" s="1641">
        <v>0</v>
      </c>
    </row>
    <row customHeight="1" ht="14.25">
      <c r="A133" s="1369"/>
      <c r="B133" s="1369"/>
      <c r="C133" s="1369"/>
      <c r="D133" s="1369"/>
      <c r="E133" s="2265"/>
      <c r="F133" s="2265"/>
      <c r="G133" s="2265"/>
      <c r="H133" s="2265"/>
      <c r="I133" s="2292"/>
      <c r="J133" s="2292"/>
      <c r="K133" s="2262" t="str">
        <f>S65&amp;".3"</f>
        <v>2.1.1.3</v>
      </c>
      <c r="L133" s="1375"/>
      <c r="M133" s="1782"/>
      <c r="N133" s="1782"/>
      <c r="O133" s="1782"/>
      <c r="P133" s="2380"/>
      <c r="Q133" s="2380"/>
      <c r="R133" s="689" t="s">
        <v>253</v>
      </c>
      <c r="S133" s="2347" t="str">
        <f>$K133</f>
        <v>2.1.1.3</v>
      </c>
      <c r="T133" s="2366" t="s">
        <v>539</v>
      </c>
      <c r="U133" s="306"/>
      <c r="V133" s="757"/>
      <c r="W133" s="1263"/>
      <c r="X133" s="757"/>
      <c r="Y133" s="1263"/>
      <c r="Z133" s="2608"/>
      <c r="AA133" s="2113" t="s">
        <v>62</v>
      </c>
      <c r="AB133" s="2608"/>
      <c r="AC133" s="2113" t="s">
        <v>62</v>
      </c>
      <c r="AD133" s="2191" t="s">
        <v>19</v>
      </c>
      <c r="AE133" s="2332"/>
      <c r="AF133" s="2443">
        <v>1</v>
      </c>
      <c r="AG133" s="2682" t="s">
        <v>28</v>
      </c>
      <c r="AH133" s="2113" t="s">
        <v>62</v>
      </c>
      <c r="AI133" s="2332"/>
      <c r="AJ133" s="2443">
        <v>1</v>
      </c>
      <c r="AK133" s="2333" t="s">
        <v>532</v>
      </c>
      <c r="AL133" s="2113" t="s">
        <v>19</v>
      </c>
      <c r="AM133" s="2300"/>
      <c r="AN133" s="2443">
        <v>1</v>
      </c>
      <c r="AO133" s="2683" t="s">
        <v>28</v>
      </c>
      <c r="AP133" s="2364" t="s">
        <v>62</v>
      </c>
      <c r="AQ133" s="317"/>
      <c r="AR133" s="2443">
        <v>1</v>
      </c>
      <c r="AS133" s="2582" t="s">
        <v>530</v>
      </c>
      <c r="AT133" s="757"/>
      <c r="AU133" s="1263"/>
      <c r="AV133" s="757"/>
      <c r="AW133" s="1263">
        <v>1293.43</v>
      </c>
      <c r="AX133" s="2608">
        <v>46023.61722222222</v>
      </c>
      <c r="AY133" s="2113" t="s">
        <v>62</v>
      </c>
      <c r="AZ133" s="2608">
        <v>46387.63049768518</v>
      </c>
      <c r="BA133" s="2113" t="s">
        <v>62</v>
      </c>
      <c r="BB133" s="1354"/>
      <c r="BC133" s="2259" t="s">
        <v>514</v>
      </c>
      <c r="BD133" s="1648"/>
      <c r="BE133" s="1630"/>
      <c r="BF133" s="1630" t="str">
        <f>IF(T133="","",T133)</f>
        <v>Наружные инженерные  водоводы, разработка грунта с погрузкой в автотранспорт, стальные трубы диаметры:</v>
      </c>
      <c r="BG133" s="1630"/>
      <c r="BH133" s="1630"/>
      <c r="BI133" s="1641">
        <v>0</v>
      </c>
    </row>
    <row customHeight="1" ht="14.25">
      <c r="A134" s="1369"/>
      <c r="B134" s="1369"/>
      <c r="C134" s="1369"/>
      <c r="D134" s="1369"/>
      <c r="E134" s="2265"/>
      <c r="F134" s="2265"/>
      <c r="G134" s="2265"/>
      <c r="H134" s="2265"/>
      <c r="I134" s="2292"/>
      <c r="J134" s="2292"/>
      <c r="K134" s="2262" t="str">
        <f>S130&amp;".1"</f>
        <v>.1</v>
      </c>
      <c r="L134" s="1375"/>
      <c r="M134" s="1782"/>
      <c r="N134" s="1782"/>
      <c r="O134" s="1782"/>
      <c r="P134" s="2380"/>
      <c r="Q134" s="2380"/>
      <c r="R134" s="2353">
        <v>1</v>
      </c>
      <c r="S134" s="2347" t="str">
        <f>$K134</f>
        <v>.1</v>
      </c>
      <c r="T134" s="2366"/>
      <c r="U134" s="306"/>
      <c r="V134" s="757"/>
      <c r="W134" s="1263"/>
      <c r="X134" s="757"/>
      <c r="Y134" s="1263"/>
      <c r="Z134" s="2608"/>
      <c r="AA134" s="2113" t="s">
        <v>62</v>
      </c>
      <c r="AB134" s="2608"/>
      <c r="AC134" s="2113" t="s">
        <v>62</v>
      </c>
      <c r="AD134" s="2191" t="s">
        <v>62</v>
      </c>
      <c r="AE134" s="2332"/>
      <c r="AF134" s="2443">
        <v>1</v>
      </c>
      <c r="AG134" s="2369"/>
      <c r="AH134" s="2113" t="s">
        <v>62</v>
      </c>
      <c r="AI134" s="2332"/>
      <c r="AJ134" s="2443">
        <v>1</v>
      </c>
      <c r="AK134" s="2333" t="s">
        <v>28</v>
      </c>
      <c r="AL134" s="2113" t="s">
        <v>62</v>
      </c>
      <c r="AM134" s="2300"/>
      <c r="AN134" s="2443">
        <v>1</v>
      </c>
      <c r="AO134" s="2363"/>
      <c r="AP134" s="2364" t="s">
        <v>62</v>
      </c>
      <c r="AQ134" s="689" t="s">
        <v>253</v>
      </c>
      <c r="AR134" s="2443" t="s">
        <v>112</v>
      </c>
      <c r="AS134" s="2582" t="s">
        <v>530</v>
      </c>
      <c r="AT134" s="757"/>
      <c r="AU134" s="1263"/>
      <c r="AV134" s="757"/>
      <c r="AW134" s="1263">
        <v>1792.84</v>
      </c>
      <c r="AX134" s="2608">
        <v>46023.61724537037</v>
      </c>
      <c r="AY134" s="2113" t="s">
        <v>62</v>
      </c>
      <c r="AZ134" s="2608">
        <v>46387.630590277775</v>
      </c>
      <c r="BA134" s="2113" t="s">
        <v>62</v>
      </c>
      <c r="BB134" s="1354"/>
      <c r="BC134" s="2259" t="s">
        <v>514</v>
      </c>
      <c r="BD134" s="1648"/>
      <c r="BE134" s="1630"/>
      <c r="BF134" s="1630" t="str">
        <f>IF(T134="","",T134)</f>
        <v/>
      </c>
      <c r="BG134" s="1630"/>
      <c r="BH134" s="1630"/>
      <c r="BI134" s="1641">
        <v>0</v>
      </c>
    </row>
    <row customHeight="1" ht="14.25">
      <c r="A135" s="1369"/>
      <c r="B135" s="1369"/>
      <c r="C135" s="1369"/>
      <c r="D135" s="1369"/>
      <c r="E135" s="2265"/>
      <c r="F135" s="2265"/>
      <c r="G135" s="2265"/>
      <c r="H135" s="2265"/>
      <c r="I135" s="2292"/>
      <c r="J135" s="2292"/>
      <c r="K135" s="2262" t="str">
        <f>S131&amp;".1"</f>
        <v>.1</v>
      </c>
      <c r="L135" s="1375"/>
      <c r="M135" s="1782"/>
      <c r="N135" s="1782"/>
      <c r="O135" s="1782"/>
      <c r="P135" s="2380"/>
      <c r="Q135" s="2380"/>
      <c r="R135" s="2353">
        <v>1</v>
      </c>
      <c r="S135" s="2347" t="str">
        <f>$K135</f>
        <v>.1</v>
      </c>
      <c r="T135" s="2366"/>
      <c r="U135" s="306"/>
      <c r="V135" s="757"/>
      <c r="W135" s="1263"/>
      <c r="X135" s="757"/>
      <c r="Y135" s="1263"/>
      <c r="Z135" s="2608"/>
      <c r="AA135" s="2113" t="s">
        <v>62</v>
      </c>
      <c r="AB135" s="2608"/>
      <c r="AC135" s="2113" t="s">
        <v>62</v>
      </c>
      <c r="AD135" s="2191" t="s">
        <v>62</v>
      </c>
      <c r="AE135" s="2332"/>
      <c r="AF135" s="2443">
        <v>1</v>
      </c>
      <c r="AG135" s="2369"/>
      <c r="AH135" s="2113" t="s">
        <v>62</v>
      </c>
      <c r="AI135" s="2332"/>
      <c r="AJ135" s="2443">
        <v>1</v>
      </c>
      <c r="AK135" s="2333" t="s">
        <v>28</v>
      </c>
      <c r="AL135" s="2113" t="s">
        <v>62</v>
      </c>
      <c r="AM135" s="2300"/>
      <c r="AN135" s="2443">
        <v>1</v>
      </c>
      <c r="AO135" s="2363"/>
      <c r="AP135" s="2364" t="s">
        <v>62</v>
      </c>
      <c r="AQ135" s="689" t="s">
        <v>253</v>
      </c>
      <c r="AR135" s="2443" t="s">
        <v>91</v>
      </c>
      <c r="AS135" s="2582" t="s">
        <v>530</v>
      </c>
      <c r="AT135" s="757"/>
      <c r="AU135" s="1263"/>
      <c r="AV135" s="757"/>
      <c r="AW135" s="1263">
        <v>1940.13</v>
      </c>
      <c r="AX135" s="2608">
        <v>46023.61728009259</v>
      </c>
      <c r="AY135" s="2113" t="s">
        <v>62</v>
      </c>
      <c r="AZ135" s="2608">
        <v>46387.63070601852</v>
      </c>
      <c r="BA135" s="2113" t="s">
        <v>62</v>
      </c>
      <c r="BB135" s="1354"/>
      <c r="BC135" s="2259" t="s">
        <v>514</v>
      </c>
      <c r="BD135" s="1648"/>
      <c r="BE135" s="1630"/>
      <c r="BF135" s="1630" t="str">
        <f>IF(T135="","",T135)</f>
        <v/>
      </c>
      <c r="BG135" s="1630"/>
      <c r="BH135" s="1630"/>
      <c r="BI135" s="1641">
        <v>0</v>
      </c>
    </row>
    <row customHeight="1" ht="14.25">
      <c r="A136" s="1369"/>
      <c r="B136" s="1369"/>
      <c r="C136" s="1369"/>
      <c r="D136" s="1369"/>
      <c r="E136" s="2265"/>
      <c r="F136" s="2265"/>
      <c r="G136" s="2265"/>
      <c r="H136" s="2265"/>
      <c r="I136" s="2292"/>
      <c r="J136" s="2292"/>
      <c r="K136" s="2262" t="str">
        <f>S132&amp;".1"</f>
        <v>.1</v>
      </c>
      <c r="L136" s="1375"/>
      <c r="M136" s="1782"/>
      <c r="N136" s="1782"/>
      <c r="O136" s="1782"/>
      <c r="P136" s="2380"/>
      <c r="Q136" s="2380"/>
      <c r="R136" s="2353">
        <v>1</v>
      </c>
      <c r="S136" s="2347" t="str">
        <f>$K136</f>
        <v>.1</v>
      </c>
      <c r="T136" s="2366"/>
      <c r="U136" s="306"/>
      <c r="V136" s="757"/>
      <c r="W136" s="1263"/>
      <c r="X136" s="757"/>
      <c r="Y136" s="1263"/>
      <c r="Z136" s="2608"/>
      <c r="AA136" s="2113" t="s">
        <v>62</v>
      </c>
      <c r="AB136" s="2608"/>
      <c r="AC136" s="2113" t="s">
        <v>62</v>
      </c>
      <c r="AD136" s="2191" t="s">
        <v>62</v>
      </c>
      <c r="AE136" s="2332"/>
      <c r="AF136" s="2443">
        <v>1</v>
      </c>
      <c r="AG136" s="2369"/>
      <c r="AH136" s="2113" t="s">
        <v>62</v>
      </c>
      <c r="AI136" s="2332"/>
      <c r="AJ136" s="2443">
        <v>1</v>
      </c>
      <c r="AK136" s="2333" t="s">
        <v>28</v>
      </c>
      <c r="AL136" s="2113" t="s">
        <v>62</v>
      </c>
      <c r="AM136" s="2300"/>
      <c r="AN136" s="2443">
        <v>1</v>
      </c>
      <c r="AO136" s="2363"/>
      <c r="AP136" s="2364" t="s">
        <v>62</v>
      </c>
      <c r="AQ136" s="689" t="s">
        <v>253</v>
      </c>
      <c r="AR136" s="2443" t="s">
        <v>92</v>
      </c>
      <c r="AS136" s="2582" t="s">
        <v>530</v>
      </c>
      <c r="AT136" s="757"/>
      <c r="AU136" s="1263"/>
      <c r="AV136" s="757"/>
      <c r="AW136" s="1263">
        <v>2689.27</v>
      </c>
      <c r="AX136" s="2608">
        <v>46023.617314814815</v>
      </c>
      <c r="AY136" s="2113" t="s">
        <v>62</v>
      </c>
      <c r="AZ136" s="2608">
        <v>46387.63081018518</v>
      </c>
      <c r="BA136" s="2113" t="s">
        <v>62</v>
      </c>
      <c r="BB136" s="1354"/>
      <c r="BC136" s="2259" t="s">
        <v>514</v>
      </c>
      <c r="BD136" s="1648"/>
      <c r="BE136" s="1630"/>
      <c r="BF136" s="1630" t="str">
        <f>IF(T136="","",T136)</f>
        <v/>
      </c>
      <c r="BG136" s="1630"/>
      <c r="BH136" s="1630"/>
      <c r="BI136" s="1641">
        <v>0</v>
      </c>
    </row>
    <row customHeight="1" ht="14.25">
      <c r="A137" s="1369"/>
      <c r="B137" s="1369"/>
      <c r="C137" s="1369"/>
      <c r="D137" s="1369"/>
      <c r="E137" s="2265"/>
      <c r="F137" s="2265"/>
      <c r="G137" s="2265"/>
      <c r="H137" s="2265"/>
      <c r="I137" s="2292"/>
      <c r="J137" s="2292"/>
      <c r="K137" s="2262" t="str">
        <f>S65&amp;".2"</f>
        <v>2.1.1.2</v>
      </c>
      <c r="L137" s="1375"/>
      <c r="M137" s="1782"/>
      <c r="N137" s="1782"/>
      <c r="O137" s="1782"/>
      <c r="P137" s="2380"/>
      <c r="Q137" s="2380"/>
      <c r="R137" s="2353"/>
      <c r="S137" s="2348"/>
      <c r="T137" s="2367"/>
      <c r="U137" s="306"/>
      <c r="V137" s="3561"/>
      <c r="W137" s="3562"/>
      <c r="X137" s="3563"/>
      <c r="Y137" s="3564"/>
      <c r="Z137" s="3565"/>
      <c r="AA137" s="3566"/>
      <c r="AB137" s="3567"/>
      <c r="AC137" s="3568"/>
      <c r="AD137" s="2192"/>
      <c r="AE137" s="2332"/>
      <c r="AF137" s="2443"/>
      <c r="AG137" s="2682" t="s">
        <v>28</v>
      </c>
      <c r="AH137" s="2113"/>
      <c r="AI137" s="2332"/>
      <c r="AJ137" s="2443"/>
      <c r="AK137" s="2333"/>
      <c r="AL137" s="2113"/>
      <c r="AM137" s="2301"/>
      <c r="AN137" s="2443"/>
      <c r="AO137" s="2683" t="s">
        <v>28</v>
      </c>
      <c r="AP137" s="2365"/>
      <c r="AQ137" s="3569"/>
      <c r="AR137" s="3570"/>
      <c r="AS137" s="3571" t="s">
        <v>515</v>
      </c>
      <c r="AT137" s="3572"/>
      <c r="AU137" s="3573"/>
      <c r="AV137" s="3574"/>
      <c r="AW137" s="3575"/>
      <c r="AX137" s="3576"/>
      <c r="AY137" s="3577"/>
      <c r="AZ137" s="3578"/>
      <c r="BA137" s="3579"/>
      <c r="BB137" s="3580"/>
      <c r="BC137" s="2260"/>
      <c r="BD137" s="1648"/>
      <c r="BE137" s="1630"/>
      <c r="BF137" s="1630"/>
      <c r="BG137" s="1630"/>
      <c r="BH137" s="1630"/>
      <c r="BI137" s="1641">
        <v>0</v>
      </c>
    </row>
    <row customHeight="1" ht="14.25">
      <c r="A138" s="1369"/>
      <c r="B138" s="1369"/>
      <c r="C138" s="1369"/>
      <c r="D138" s="1369"/>
      <c r="E138" s="2265"/>
      <c r="F138" s="2265"/>
      <c r="G138" s="2265"/>
      <c r="H138" s="2265"/>
      <c r="I138" s="2292"/>
      <c r="J138" s="2292"/>
      <c r="K138" s="2262" t="str">
        <f>S65&amp;".2"</f>
        <v>2.1.1.2</v>
      </c>
      <c r="L138" s="1375"/>
      <c r="M138" s="1782"/>
      <c r="N138" s="1782"/>
      <c r="O138" s="1782"/>
      <c r="P138" s="2380"/>
      <c r="Q138" s="2380"/>
      <c r="R138" s="2353"/>
      <c r="S138" s="2348"/>
      <c r="T138" s="2367"/>
      <c r="U138" s="306"/>
      <c r="V138" s="3581"/>
      <c r="W138" s="3582"/>
      <c r="X138" s="3583"/>
      <c r="Y138" s="3584"/>
      <c r="Z138" s="3585"/>
      <c r="AA138" s="3586"/>
      <c r="AB138" s="3587"/>
      <c r="AC138" s="3588"/>
      <c r="AD138" s="2192"/>
      <c r="AE138" s="2332"/>
      <c r="AF138" s="2443"/>
      <c r="AG138" s="2682" t="s">
        <v>28</v>
      </c>
      <c r="AH138" s="2113"/>
      <c r="AI138" s="2332"/>
      <c r="AJ138" s="2443"/>
      <c r="AK138" s="2333"/>
      <c r="AL138" s="2113"/>
      <c r="AM138" s="3589"/>
      <c r="AN138" s="3590"/>
      <c r="AO138" s="3591" t="s">
        <v>516</v>
      </c>
      <c r="AP138" s="3592"/>
      <c r="AQ138" s="3593"/>
      <c r="AR138" s="3594"/>
      <c r="AS138" s="3595"/>
      <c r="AT138" s="3596"/>
      <c r="AU138" s="3597"/>
      <c r="AV138" s="3598"/>
      <c r="AW138" s="3599"/>
      <c r="AX138" s="3600"/>
      <c r="AY138" s="3601"/>
      <c r="AZ138" s="3602"/>
      <c r="BA138" s="3603"/>
      <c r="BB138" s="3604"/>
      <c r="BC138" s="2260"/>
      <c r="BD138" s="1648"/>
      <c r="BE138" s="1630"/>
      <c r="BF138" s="1630"/>
      <c r="BG138" s="1630"/>
      <c r="BH138" s="1630"/>
      <c r="BI138" s="1641">
        <v>0</v>
      </c>
    </row>
    <row customHeight="1" ht="14.25">
      <c r="A139" s="1369"/>
      <c r="B139" s="1369"/>
      <c r="C139" s="1369"/>
      <c r="D139" s="1369"/>
      <c r="E139" s="2265"/>
      <c r="F139" s="2265"/>
      <c r="G139" s="2265"/>
      <c r="H139" s="2265"/>
      <c r="I139" s="2292"/>
      <c r="J139" s="2292"/>
      <c r="K139" s="2262" t="str">
        <f>S132&amp;".1"</f>
        <v>.1</v>
      </c>
      <c r="L139" s="1375"/>
      <c r="M139" s="1782"/>
      <c r="N139" s="1782"/>
      <c r="O139" s="1782"/>
      <c r="P139" s="2380"/>
      <c r="Q139" s="2380"/>
      <c r="R139" s="2353">
        <v>1</v>
      </c>
      <c r="S139" s="2347" t="str">
        <f>$K139</f>
        <v>.1</v>
      </c>
      <c r="T139" s="2366"/>
      <c r="U139" s="306"/>
      <c r="V139" s="757"/>
      <c r="W139" s="1263"/>
      <c r="X139" s="757"/>
      <c r="Y139" s="1263"/>
      <c r="Z139" s="2608"/>
      <c r="AA139" s="2113" t="s">
        <v>62</v>
      </c>
      <c r="AB139" s="2608"/>
      <c r="AC139" s="2113" t="s">
        <v>62</v>
      </c>
      <c r="AD139" s="2191" t="s">
        <v>62</v>
      </c>
      <c r="AE139" s="2332"/>
      <c r="AF139" s="2443">
        <v>1</v>
      </c>
      <c r="AG139" s="2369"/>
      <c r="AH139" s="2113" t="s">
        <v>62</v>
      </c>
      <c r="AI139" s="689" t="s">
        <v>253</v>
      </c>
      <c r="AJ139" s="2443" t="s">
        <v>112</v>
      </c>
      <c r="AK139" s="2333" t="s">
        <v>533</v>
      </c>
      <c r="AL139" s="2113" t="s">
        <v>19</v>
      </c>
      <c r="AM139" s="2300"/>
      <c r="AN139" s="2443">
        <v>1</v>
      </c>
      <c r="AO139" s="2683" t="s">
        <v>28</v>
      </c>
      <c r="AP139" s="2364" t="s">
        <v>62</v>
      </c>
      <c r="AQ139" s="317"/>
      <c r="AR139" s="2443">
        <v>1</v>
      </c>
      <c r="AS139" s="2582" t="s">
        <v>530</v>
      </c>
      <c r="AT139" s="757"/>
      <c r="AU139" s="1263"/>
      <c r="AV139" s="757"/>
      <c r="AW139" s="1263">
        <v>4446.15</v>
      </c>
      <c r="AX139" s="2608">
        <v>46023.617372685185</v>
      </c>
      <c r="AY139" s="2113" t="s">
        <v>62</v>
      </c>
      <c r="AZ139" s="2608">
        <v>46387.63091435185</v>
      </c>
      <c r="BA139" s="2113" t="s">
        <v>62</v>
      </c>
      <c r="BB139" s="1354"/>
      <c r="BC139" s="2259" t="s">
        <v>514</v>
      </c>
      <c r="BD139" s="1648"/>
      <c r="BE139" s="1630"/>
      <c r="BF139" s="1630" t="str">
        <f>IF(T139="","",T139)</f>
        <v/>
      </c>
      <c r="BG139" s="1630"/>
      <c r="BH139" s="1630"/>
      <c r="BI139" s="1641">
        <v>0</v>
      </c>
    </row>
    <row customHeight="1" ht="14.25">
      <c r="A140" s="1369"/>
      <c r="B140" s="1369"/>
      <c r="C140" s="1369"/>
      <c r="D140" s="1369"/>
      <c r="E140" s="2265"/>
      <c r="F140" s="2265"/>
      <c r="G140" s="2265"/>
      <c r="H140" s="2265"/>
      <c r="I140" s="2292"/>
      <c r="J140" s="2292"/>
      <c r="K140" s="2262" t="str">
        <f>S136&amp;".1"</f>
        <v>.1.1</v>
      </c>
      <c r="L140" s="1375"/>
      <c r="M140" s="1782"/>
      <c r="N140" s="1782"/>
      <c r="O140" s="1782"/>
      <c r="P140" s="2380"/>
      <c r="Q140" s="2380"/>
      <c r="R140" s="2353">
        <v>1</v>
      </c>
      <c r="S140" s="2347" t="str">
        <f>$K140</f>
        <v>.1.1</v>
      </c>
      <c r="T140" s="2366"/>
      <c r="U140" s="306"/>
      <c r="V140" s="757"/>
      <c r="W140" s="1263"/>
      <c r="X140" s="757"/>
      <c r="Y140" s="1263"/>
      <c r="Z140" s="2608"/>
      <c r="AA140" s="2113" t="s">
        <v>62</v>
      </c>
      <c r="AB140" s="2608"/>
      <c r="AC140" s="2113" t="s">
        <v>62</v>
      </c>
      <c r="AD140" s="2191" t="s">
        <v>62</v>
      </c>
      <c r="AE140" s="2332"/>
      <c r="AF140" s="2443">
        <v>1</v>
      </c>
      <c r="AG140" s="2369"/>
      <c r="AH140" s="2113" t="s">
        <v>62</v>
      </c>
      <c r="AI140" s="2332"/>
      <c r="AJ140" s="2443">
        <v>1</v>
      </c>
      <c r="AK140" s="2333" t="s">
        <v>28</v>
      </c>
      <c r="AL140" s="2113" t="s">
        <v>62</v>
      </c>
      <c r="AM140" s="2300"/>
      <c r="AN140" s="2443">
        <v>1</v>
      </c>
      <c r="AO140" s="2363"/>
      <c r="AP140" s="2364" t="s">
        <v>62</v>
      </c>
      <c r="AQ140" s="689" t="s">
        <v>253</v>
      </c>
      <c r="AR140" s="2443" t="s">
        <v>112</v>
      </c>
      <c r="AS140" s="2582" t="s">
        <v>530</v>
      </c>
      <c r="AT140" s="757"/>
      <c r="AU140" s="1263"/>
      <c r="AV140" s="757"/>
      <c r="AW140" s="1263">
        <v>6162.91</v>
      </c>
      <c r="AX140" s="2608">
        <v>46023.617418981485</v>
      </c>
      <c r="AY140" s="2113" t="s">
        <v>62</v>
      </c>
      <c r="AZ140" s="2608">
        <v>46387.631006944444</v>
      </c>
      <c r="BA140" s="2113" t="s">
        <v>62</v>
      </c>
      <c r="BB140" s="1354"/>
      <c r="BC140" s="2259" t="s">
        <v>514</v>
      </c>
      <c r="BD140" s="1648"/>
      <c r="BE140" s="1630"/>
      <c r="BF140" s="1630" t="str">
        <f>IF(T140="","",T140)</f>
        <v/>
      </c>
      <c r="BG140" s="1630"/>
      <c r="BH140" s="1630"/>
      <c r="BI140" s="1641">
        <v>0</v>
      </c>
    </row>
    <row customHeight="1" ht="14.25">
      <c r="A141" s="1369"/>
      <c r="B141" s="1369"/>
      <c r="C141" s="1369"/>
      <c r="D141" s="1369"/>
      <c r="E141" s="2265"/>
      <c r="F141" s="2265"/>
      <c r="G141" s="2265"/>
      <c r="H141" s="2265"/>
      <c r="I141" s="2292"/>
      <c r="J141" s="2292"/>
      <c r="K141" s="2262"/>
      <c r="L141" s="1375"/>
      <c r="M141" s="1782"/>
      <c r="N141" s="1782"/>
      <c r="O141" s="1782"/>
      <c r="P141" s="2380"/>
      <c r="Q141" s="2380"/>
      <c r="R141" s="2353"/>
      <c r="S141" s="2348"/>
      <c r="T141" s="2367"/>
      <c r="U141" s="306"/>
      <c r="V141" s="3605"/>
      <c r="W141" s="3606"/>
      <c r="X141" s="3607"/>
      <c r="Y141" s="3608"/>
      <c r="Z141" s="3609"/>
      <c r="AA141" s="3610"/>
      <c r="AB141" s="3611"/>
      <c r="AC141" s="3612"/>
      <c r="AD141" s="2192"/>
      <c r="AE141" s="2332"/>
      <c r="AF141" s="2443"/>
      <c r="AG141" s="2369"/>
      <c r="AH141" s="2113"/>
      <c r="AI141" s="2332"/>
      <c r="AJ141" s="2443">
        <v>1</v>
      </c>
      <c r="AK141" s="2333"/>
      <c r="AL141" s="2113"/>
      <c r="AM141" s="2301"/>
      <c r="AN141" s="2443"/>
      <c r="AO141" s="2683" t="s">
        <v>28</v>
      </c>
      <c r="AP141" s="2365"/>
      <c r="AQ141" s="3613"/>
      <c r="AR141" s="3614"/>
      <c r="AS141" s="3615" t="s">
        <v>515</v>
      </c>
      <c r="AT141" s="3616"/>
      <c r="AU141" s="3617"/>
      <c r="AV141" s="3618"/>
      <c r="AW141" s="3619"/>
      <c r="AX141" s="3620"/>
      <c r="AY141" s="3621"/>
      <c r="AZ141" s="3622"/>
      <c r="BA141" s="3623"/>
      <c r="BB141" s="3624"/>
      <c r="BC141" s="2260"/>
      <c r="BD141" s="1648"/>
      <c r="BE141" s="1630"/>
      <c r="BF141" s="1630"/>
      <c r="BG141" s="1630"/>
      <c r="BH141" s="1630"/>
      <c r="BI141" s="1641">
        <v>0</v>
      </c>
    </row>
    <row customHeight="1" ht="14.25">
      <c r="A142" s="1369"/>
      <c r="B142" s="1369"/>
      <c r="C142" s="1369"/>
      <c r="D142" s="1369"/>
      <c r="E142" s="2265"/>
      <c r="F142" s="2265"/>
      <c r="G142" s="2265"/>
      <c r="H142" s="2265"/>
      <c r="I142" s="2292"/>
      <c r="J142" s="2292"/>
      <c r="K142" s="2262"/>
      <c r="L142" s="1375"/>
      <c r="M142" s="1782"/>
      <c r="N142" s="1782"/>
      <c r="O142" s="1782"/>
      <c r="P142" s="2380"/>
      <c r="Q142" s="2380"/>
      <c r="R142" s="2353"/>
      <c r="S142" s="2348"/>
      <c r="T142" s="2367"/>
      <c r="U142" s="306"/>
      <c r="V142" s="3625"/>
      <c r="W142" s="3626"/>
      <c r="X142" s="3627"/>
      <c r="Y142" s="3628"/>
      <c r="Z142" s="3629"/>
      <c r="AA142" s="3630"/>
      <c r="AB142" s="3631"/>
      <c r="AC142" s="3632"/>
      <c r="AD142" s="2192"/>
      <c r="AE142" s="2332"/>
      <c r="AF142" s="2443"/>
      <c r="AG142" s="2369"/>
      <c r="AH142" s="2113"/>
      <c r="AI142" s="2332"/>
      <c r="AJ142" s="2443">
        <v>1</v>
      </c>
      <c r="AK142" s="2333"/>
      <c r="AL142" s="2113"/>
      <c r="AM142" s="3633"/>
      <c r="AN142" s="3634"/>
      <c r="AO142" s="3635" t="s">
        <v>516</v>
      </c>
      <c r="AP142" s="3636"/>
      <c r="AQ142" s="3637"/>
      <c r="AR142" s="3638"/>
      <c r="AS142" s="3639"/>
      <c r="AT142" s="3640"/>
      <c r="AU142" s="3641"/>
      <c r="AV142" s="3642"/>
      <c r="AW142" s="3643"/>
      <c r="AX142" s="3644"/>
      <c r="AY142" s="3645"/>
      <c r="AZ142" s="3646"/>
      <c r="BA142" s="3647"/>
      <c r="BB142" s="3648"/>
      <c r="BC142" s="2260"/>
      <c r="BD142" s="1648"/>
      <c r="BE142" s="1630"/>
      <c r="BF142" s="1630"/>
      <c r="BG142" s="1630"/>
      <c r="BH142" s="1630"/>
      <c r="BI142" s="1641">
        <v>0</v>
      </c>
    </row>
    <row customHeight="1" ht="14.25">
      <c r="A143" s="1369"/>
      <c r="B143" s="1369"/>
      <c r="C143" s="1369"/>
      <c r="D143" s="1369"/>
      <c r="E143" s="2265"/>
      <c r="F143" s="2265"/>
      <c r="G143" s="2265"/>
      <c r="H143" s="2265"/>
      <c r="I143" s="2292"/>
      <c r="J143" s="2292"/>
      <c r="K143" s="2262" t="str">
        <f>S138&amp;".1"</f>
        <v>.1</v>
      </c>
      <c r="L143" s="1375"/>
      <c r="M143" s="1782"/>
      <c r="N143" s="1782"/>
      <c r="O143" s="1782"/>
      <c r="P143" s="2380"/>
      <c r="Q143" s="2380"/>
      <c r="R143" s="2353">
        <v>1</v>
      </c>
      <c r="S143" s="2347" t="str">
        <f>$K143</f>
        <v>.1</v>
      </c>
      <c r="T143" s="2366"/>
      <c r="U143" s="306"/>
      <c r="V143" s="757"/>
      <c r="W143" s="1263"/>
      <c r="X143" s="757"/>
      <c r="Y143" s="1263"/>
      <c r="Z143" s="2608"/>
      <c r="AA143" s="2113" t="s">
        <v>62</v>
      </c>
      <c r="AB143" s="2608"/>
      <c r="AC143" s="2113" t="s">
        <v>62</v>
      </c>
      <c r="AD143" s="2191" t="s">
        <v>62</v>
      </c>
      <c r="AE143" s="2332"/>
      <c r="AF143" s="2443">
        <v>1</v>
      </c>
      <c r="AG143" s="2369"/>
      <c r="AH143" s="2113" t="s">
        <v>62</v>
      </c>
      <c r="AI143" s="689" t="s">
        <v>253</v>
      </c>
      <c r="AJ143" s="2443" t="s">
        <v>91</v>
      </c>
      <c r="AK143" s="2333" t="s">
        <v>534</v>
      </c>
      <c r="AL143" s="2113" t="s">
        <v>19</v>
      </c>
      <c r="AM143" s="2300"/>
      <c r="AN143" s="2443">
        <v>1</v>
      </c>
      <c r="AO143" s="2683" t="s">
        <v>28</v>
      </c>
      <c r="AP143" s="2364" t="s">
        <v>62</v>
      </c>
      <c r="AQ143" s="317"/>
      <c r="AR143" s="2443">
        <v>1</v>
      </c>
      <c r="AS143" s="2582" t="s">
        <v>530</v>
      </c>
      <c r="AT143" s="757"/>
      <c r="AU143" s="1263"/>
      <c r="AV143" s="757"/>
      <c r="AW143" s="1263">
        <v>6224.62</v>
      </c>
      <c r="AX143" s="2608">
        <v>46023.617476851854</v>
      </c>
      <c r="AY143" s="2113" t="s">
        <v>62</v>
      </c>
      <c r="AZ143" s="2608">
        <v>46387.63111111111</v>
      </c>
      <c r="BA143" s="2113" t="s">
        <v>62</v>
      </c>
      <c r="BB143" s="1354"/>
      <c r="BC143" s="2259" t="s">
        <v>514</v>
      </c>
      <c r="BD143" s="1648"/>
      <c r="BE143" s="1630"/>
      <c r="BF143" s="1630" t="str">
        <f>IF(T143="","",T143)</f>
        <v/>
      </c>
      <c r="BG143" s="1630"/>
      <c r="BH143" s="1630"/>
      <c r="BI143" s="1641">
        <v>0</v>
      </c>
    </row>
    <row customHeight="1" ht="14.25">
      <c r="A144" s="1369"/>
      <c r="B144" s="1369"/>
      <c r="C144" s="1369"/>
      <c r="D144" s="1369"/>
      <c r="E144" s="2265"/>
      <c r="F144" s="2265"/>
      <c r="G144" s="2265"/>
      <c r="H144" s="2265"/>
      <c r="I144" s="2292"/>
      <c r="J144" s="2292"/>
      <c r="K144" s="2262" t="str">
        <f>S140&amp;".1"</f>
        <v>.1.1.1</v>
      </c>
      <c r="L144" s="1375"/>
      <c r="M144" s="1782"/>
      <c r="N144" s="1782"/>
      <c r="O144" s="1782"/>
      <c r="P144" s="2380"/>
      <c r="Q144" s="2380"/>
      <c r="R144" s="2353">
        <v>1</v>
      </c>
      <c r="S144" s="2347" t="str">
        <f>$K144</f>
        <v>.1.1.1</v>
      </c>
      <c r="T144" s="2366"/>
      <c r="U144" s="306"/>
      <c r="V144" s="757"/>
      <c r="W144" s="1263"/>
      <c r="X144" s="757"/>
      <c r="Y144" s="1263"/>
      <c r="Z144" s="2608"/>
      <c r="AA144" s="2113" t="s">
        <v>62</v>
      </c>
      <c r="AB144" s="2608"/>
      <c r="AC144" s="2113" t="s">
        <v>62</v>
      </c>
      <c r="AD144" s="2191" t="s">
        <v>62</v>
      </c>
      <c r="AE144" s="2332"/>
      <c r="AF144" s="2443">
        <v>1</v>
      </c>
      <c r="AG144" s="2369"/>
      <c r="AH144" s="2113" t="s">
        <v>62</v>
      </c>
      <c r="AI144" s="2332"/>
      <c r="AJ144" s="2443">
        <v>1</v>
      </c>
      <c r="AK144" s="2333" t="s">
        <v>28</v>
      </c>
      <c r="AL144" s="2113" t="s">
        <v>62</v>
      </c>
      <c r="AM144" s="2300"/>
      <c r="AN144" s="2443">
        <v>1</v>
      </c>
      <c r="AO144" s="2363"/>
      <c r="AP144" s="2364" t="s">
        <v>62</v>
      </c>
      <c r="AQ144" s="689" t="s">
        <v>253</v>
      </c>
      <c r="AR144" s="2443" t="s">
        <v>112</v>
      </c>
      <c r="AS144" s="2582" t="s">
        <v>530</v>
      </c>
      <c r="AT144" s="757"/>
      <c r="AU144" s="1263"/>
      <c r="AV144" s="757"/>
      <c r="AW144" s="1263">
        <v>8628.07</v>
      </c>
      <c r="AX144" s="2608">
        <v>46023.61752314815</v>
      </c>
      <c r="AY144" s="2113" t="s">
        <v>62</v>
      </c>
      <c r="AZ144" s="2608">
        <v>46387.631203703706</v>
      </c>
      <c r="BA144" s="2113" t="s">
        <v>62</v>
      </c>
      <c r="BB144" s="1354"/>
      <c r="BC144" s="2259" t="s">
        <v>514</v>
      </c>
      <c r="BD144" s="1648"/>
      <c r="BE144" s="1630"/>
      <c r="BF144" s="1630" t="str">
        <f>IF(T144="","",T144)</f>
        <v/>
      </c>
      <c r="BG144" s="1630"/>
      <c r="BH144" s="1630"/>
      <c r="BI144" s="1641">
        <v>0</v>
      </c>
    </row>
    <row customHeight="1" ht="14.25">
      <c r="A145" s="1369"/>
      <c r="B145" s="1369"/>
      <c r="C145" s="1369"/>
      <c r="D145" s="1369"/>
      <c r="E145" s="2265"/>
      <c r="F145" s="2265"/>
      <c r="G145" s="2265"/>
      <c r="H145" s="2265"/>
      <c r="I145" s="2292"/>
      <c r="J145" s="2292"/>
      <c r="K145" s="2262" t="str">
        <f>S141&amp;".1"</f>
        <v>.1</v>
      </c>
      <c r="L145" s="1375"/>
      <c r="M145" s="1782"/>
      <c r="N145" s="1782"/>
      <c r="O145" s="1782"/>
      <c r="P145" s="2380"/>
      <c r="Q145" s="2380"/>
      <c r="R145" s="2353">
        <v>1</v>
      </c>
      <c r="S145" s="2347" t="str">
        <f>$K145</f>
        <v>.1</v>
      </c>
      <c r="T145" s="2366"/>
      <c r="U145" s="306"/>
      <c r="V145" s="757"/>
      <c r="W145" s="1263"/>
      <c r="X145" s="757"/>
      <c r="Y145" s="1263"/>
      <c r="Z145" s="2608"/>
      <c r="AA145" s="2113" t="s">
        <v>62</v>
      </c>
      <c r="AB145" s="2608"/>
      <c r="AC145" s="2113" t="s">
        <v>62</v>
      </c>
      <c r="AD145" s="2191" t="s">
        <v>62</v>
      </c>
      <c r="AE145" s="2332"/>
      <c r="AF145" s="2443">
        <v>1</v>
      </c>
      <c r="AG145" s="2369"/>
      <c r="AH145" s="2113" t="s">
        <v>62</v>
      </c>
      <c r="AI145" s="2332"/>
      <c r="AJ145" s="2443">
        <v>1</v>
      </c>
      <c r="AK145" s="2333" t="s">
        <v>28</v>
      </c>
      <c r="AL145" s="2113" t="s">
        <v>62</v>
      </c>
      <c r="AM145" s="2300"/>
      <c r="AN145" s="2443">
        <v>1</v>
      </c>
      <c r="AO145" s="2363"/>
      <c r="AP145" s="2364" t="s">
        <v>62</v>
      </c>
      <c r="AQ145" s="689" t="s">
        <v>253</v>
      </c>
      <c r="AR145" s="2443" t="s">
        <v>91</v>
      </c>
      <c r="AS145" s="2582" t="s">
        <v>530</v>
      </c>
      <c r="AT145" s="757"/>
      <c r="AU145" s="1263"/>
      <c r="AV145" s="757"/>
      <c r="AW145" s="1263">
        <v>8083.92</v>
      </c>
      <c r="AX145" s="2608">
        <v>46023.61755787037</v>
      </c>
      <c r="AY145" s="2113" t="s">
        <v>62</v>
      </c>
      <c r="AZ145" s="2608">
        <v>46387.63128472222</v>
      </c>
      <c r="BA145" s="2113" t="s">
        <v>62</v>
      </c>
      <c r="BB145" s="1354"/>
      <c r="BC145" s="2259" t="s">
        <v>514</v>
      </c>
      <c r="BD145" s="1648"/>
      <c r="BE145" s="1630"/>
      <c r="BF145" s="1630" t="str">
        <f>IF(T145="","",T145)</f>
        <v/>
      </c>
      <c r="BG145" s="1630"/>
      <c r="BH145" s="1630"/>
      <c r="BI145" s="1641">
        <v>0</v>
      </c>
    </row>
    <row customHeight="1" ht="14.25">
      <c r="A146" s="1369"/>
      <c r="B146" s="1369"/>
      <c r="C146" s="1369"/>
      <c r="D146" s="1369"/>
      <c r="E146" s="2265"/>
      <c r="F146" s="2265"/>
      <c r="G146" s="2265"/>
      <c r="H146" s="2265"/>
      <c r="I146" s="2292"/>
      <c r="J146" s="2292"/>
      <c r="K146" s="2262" t="str">
        <f>S142&amp;".1"</f>
        <v>.1</v>
      </c>
      <c r="L146" s="1375"/>
      <c r="M146" s="1782"/>
      <c r="N146" s="1782"/>
      <c r="O146" s="1782"/>
      <c r="P146" s="2380"/>
      <c r="Q146" s="2380"/>
      <c r="R146" s="2353">
        <v>1</v>
      </c>
      <c r="S146" s="2347" t="str">
        <f>$K146</f>
        <v>.1</v>
      </c>
      <c r="T146" s="2366"/>
      <c r="U146" s="306"/>
      <c r="V146" s="757"/>
      <c r="W146" s="1263"/>
      <c r="X146" s="757"/>
      <c r="Y146" s="1263"/>
      <c r="Z146" s="2608"/>
      <c r="AA146" s="2113" t="s">
        <v>62</v>
      </c>
      <c r="AB146" s="2608"/>
      <c r="AC146" s="2113" t="s">
        <v>62</v>
      </c>
      <c r="AD146" s="2191" t="s">
        <v>62</v>
      </c>
      <c r="AE146" s="2332"/>
      <c r="AF146" s="2443">
        <v>1</v>
      </c>
      <c r="AG146" s="2369"/>
      <c r="AH146" s="2113" t="s">
        <v>62</v>
      </c>
      <c r="AI146" s="2332"/>
      <c r="AJ146" s="2443">
        <v>1</v>
      </c>
      <c r="AK146" s="2333" t="s">
        <v>28</v>
      </c>
      <c r="AL146" s="2113" t="s">
        <v>62</v>
      </c>
      <c r="AM146" s="2300"/>
      <c r="AN146" s="2443">
        <v>1</v>
      </c>
      <c r="AO146" s="2363"/>
      <c r="AP146" s="2364" t="s">
        <v>62</v>
      </c>
      <c r="AQ146" s="689" t="s">
        <v>253</v>
      </c>
      <c r="AR146" s="2443" t="s">
        <v>92</v>
      </c>
      <c r="AS146" s="2582" t="s">
        <v>530</v>
      </c>
      <c r="AT146" s="757"/>
      <c r="AU146" s="1263"/>
      <c r="AV146" s="757"/>
      <c r="AW146" s="1263">
        <v>11205.29</v>
      </c>
      <c r="AX146" s="2608">
        <v>46023.61759259259</v>
      </c>
      <c r="AY146" s="2113" t="s">
        <v>62</v>
      </c>
      <c r="AZ146" s="2608">
        <v>46387.631377314814</v>
      </c>
      <c r="BA146" s="2113" t="s">
        <v>62</v>
      </c>
      <c r="BB146" s="1354"/>
      <c r="BC146" s="2259" t="s">
        <v>514</v>
      </c>
      <c r="BD146" s="1648"/>
      <c r="BE146" s="1630"/>
      <c r="BF146" s="1630" t="str">
        <f>IF(T146="","",T146)</f>
        <v/>
      </c>
      <c r="BG146" s="1630"/>
      <c r="BH146" s="1630"/>
      <c r="BI146" s="1641">
        <v>0</v>
      </c>
    </row>
    <row customHeight="1" ht="14.25">
      <c r="A147" s="1369"/>
      <c r="B147" s="1369"/>
      <c r="C147" s="1369"/>
      <c r="D147" s="1369"/>
      <c r="E147" s="2265"/>
      <c r="F147" s="2265"/>
      <c r="G147" s="2265"/>
      <c r="H147" s="2265"/>
      <c r="I147" s="2292"/>
      <c r="J147" s="2292"/>
      <c r="K147" s="2262"/>
      <c r="L147" s="1375"/>
      <c r="M147" s="1782"/>
      <c r="N147" s="1782"/>
      <c r="O147" s="1782"/>
      <c r="P147" s="2380"/>
      <c r="Q147" s="2380"/>
      <c r="R147" s="2353"/>
      <c r="S147" s="2348"/>
      <c r="T147" s="2367"/>
      <c r="U147" s="306"/>
      <c r="V147" s="3649"/>
      <c r="W147" s="3650"/>
      <c r="X147" s="3651"/>
      <c r="Y147" s="3652"/>
      <c r="Z147" s="3653"/>
      <c r="AA147" s="3654"/>
      <c r="AB147" s="3655"/>
      <c r="AC147" s="3656"/>
      <c r="AD147" s="2192"/>
      <c r="AE147" s="2332"/>
      <c r="AF147" s="2443"/>
      <c r="AG147" s="2369"/>
      <c r="AH147" s="2113"/>
      <c r="AI147" s="2332"/>
      <c r="AJ147" s="2443" t="s">
        <v>112</v>
      </c>
      <c r="AK147" s="2333"/>
      <c r="AL147" s="2113"/>
      <c r="AM147" s="2301"/>
      <c r="AN147" s="2443"/>
      <c r="AO147" s="2683" t="s">
        <v>28</v>
      </c>
      <c r="AP147" s="2365"/>
      <c r="AQ147" s="3657"/>
      <c r="AR147" s="3658"/>
      <c r="AS147" s="3659" t="s">
        <v>515</v>
      </c>
      <c r="AT147" s="3660"/>
      <c r="AU147" s="3661"/>
      <c r="AV147" s="3662"/>
      <c r="AW147" s="3663"/>
      <c r="AX147" s="3664"/>
      <c r="AY147" s="3665"/>
      <c r="AZ147" s="3666"/>
      <c r="BA147" s="3667"/>
      <c r="BB147" s="3668"/>
      <c r="BC147" s="2260"/>
      <c r="BD147" s="1648"/>
      <c r="BE147" s="1630"/>
      <c r="BF147" s="1630"/>
      <c r="BG147" s="1630"/>
      <c r="BH147" s="1630"/>
      <c r="BI147" s="1641">
        <v>0</v>
      </c>
    </row>
    <row customHeight="1" ht="14.25">
      <c r="A148" s="1369"/>
      <c r="B148" s="1369"/>
      <c r="C148" s="1369"/>
      <c r="D148" s="1369"/>
      <c r="E148" s="2265"/>
      <c r="F148" s="2265"/>
      <c r="G148" s="2265"/>
      <c r="H148" s="2265"/>
      <c r="I148" s="2292"/>
      <c r="J148" s="2292"/>
      <c r="K148" s="2262"/>
      <c r="L148" s="1375"/>
      <c r="M148" s="1782"/>
      <c r="N148" s="1782"/>
      <c r="O148" s="1782"/>
      <c r="P148" s="2380"/>
      <c r="Q148" s="2380"/>
      <c r="R148" s="2353"/>
      <c r="S148" s="2348"/>
      <c r="T148" s="2367"/>
      <c r="U148" s="306"/>
      <c r="V148" s="3669"/>
      <c r="W148" s="3670"/>
      <c r="X148" s="3671"/>
      <c r="Y148" s="3672"/>
      <c r="Z148" s="3673"/>
      <c r="AA148" s="3674"/>
      <c r="AB148" s="3675"/>
      <c r="AC148" s="3676"/>
      <c r="AD148" s="2192"/>
      <c r="AE148" s="2332"/>
      <c r="AF148" s="2443"/>
      <c r="AG148" s="2369"/>
      <c r="AH148" s="2113"/>
      <c r="AI148" s="2332"/>
      <c r="AJ148" s="2443" t="s">
        <v>112</v>
      </c>
      <c r="AK148" s="2333"/>
      <c r="AL148" s="2113"/>
      <c r="AM148" s="3677"/>
      <c r="AN148" s="3678"/>
      <c r="AO148" s="3679" t="s">
        <v>516</v>
      </c>
      <c r="AP148" s="3680"/>
      <c r="AQ148" s="3681"/>
      <c r="AR148" s="3682"/>
      <c r="AS148" s="3683"/>
      <c r="AT148" s="3684"/>
      <c r="AU148" s="3685"/>
      <c r="AV148" s="3686"/>
      <c r="AW148" s="3687"/>
      <c r="AX148" s="3688"/>
      <c r="AY148" s="3689"/>
      <c r="AZ148" s="3690"/>
      <c r="BA148" s="3691"/>
      <c r="BB148" s="3692"/>
      <c r="BC148" s="2260"/>
      <c r="BD148" s="1648"/>
      <c r="BE148" s="1630"/>
      <c r="BF148" s="1630"/>
      <c r="BG148" s="1630"/>
      <c r="BH148" s="1630"/>
      <c r="BI148" s="1641">
        <v>0</v>
      </c>
    </row>
    <row customHeight="1" ht="14.25">
      <c r="A149" s="1369"/>
      <c r="B149" s="1369"/>
      <c r="C149" s="1369"/>
      <c r="D149" s="1369"/>
      <c r="E149" s="2265"/>
      <c r="F149" s="2265"/>
      <c r="G149" s="2265"/>
      <c r="H149" s="2265"/>
      <c r="I149" s="2292"/>
      <c r="J149" s="2292"/>
      <c r="K149" s="2262" t="str">
        <f>S142&amp;".1"</f>
        <v>.1</v>
      </c>
      <c r="L149" s="1375"/>
      <c r="M149" s="1782"/>
      <c r="N149" s="1782"/>
      <c r="O149" s="1782"/>
      <c r="P149" s="2380"/>
      <c r="Q149" s="2380"/>
      <c r="R149" s="2353">
        <v>1</v>
      </c>
      <c r="S149" s="2347" t="str">
        <f>$K149</f>
        <v>.1</v>
      </c>
      <c r="T149" s="2366"/>
      <c r="U149" s="306"/>
      <c r="V149" s="757"/>
      <c r="W149" s="1263"/>
      <c r="X149" s="757"/>
      <c r="Y149" s="1263"/>
      <c r="Z149" s="2608"/>
      <c r="AA149" s="2113" t="s">
        <v>62</v>
      </c>
      <c r="AB149" s="2608"/>
      <c r="AC149" s="2113" t="s">
        <v>62</v>
      </c>
      <c r="AD149" s="2191" t="s">
        <v>62</v>
      </c>
      <c r="AE149" s="2332"/>
      <c r="AF149" s="2443">
        <v>1</v>
      </c>
      <c r="AG149" s="2369"/>
      <c r="AH149" s="2113" t="s">
        <v>62</v>
      </c>
      <c r="AI149" s="689" t="s">
        <v>253</v>
      </c>
      <c r="AJ149" s="2443" t="s">
        <v>92</v>
      </c>
      <c r="AK149" s="2333" t="s">
        <v>535</v>
      </c>
      <c r="AL149" s="2113" t="s">
        <v>19</v>
      </c>
      <c r="AM149" s="2300"/>
      <c r="AN149" s="2443">
        <v>1</v>
      </c>
      <c r="AO149" s="2683" t="s">
        <v>28</v>
      </c>
      <c r="AP149" s="2364" t="s">
        <v>62</v>
      </c>
      <c r="AQ149" s="317"/>
      <c r="AR149" s="2443">
        <v>1</v>
      </c>
      <c r="AS149" s="2582" t="s">
        <v>530</v>
      </c>
      <c r="AT149" s="757"/>
      <c r="AU149" s="1263"/>
      <c r="AV149" s="757"/>
      <c r="AW149" s="1263">
        <v>9516.69</v>
      </c>
      <c r="AX149" s="2608">
        <v>46023.617638888885</v>
      </c>
      <c r="AY149" s="2113" t="s">
        <v>62</v>
      </c>
      <c r="AZ149" s="2608">
        <v>46387.631527777776</v>
      </c>
      <c r="BA149" s="2113" t="s">
        <v>62</v>
      </c>
      <c r="BB149" s="1354"/>
      <c r="BC149" s="2259" t="s">
        <v>514</v>
      </c>
      <c r="BD149" s="1648"/>
      <c r="BE149" s="1630"/>
      <c r="BF149" s="1630" t="str">
        <f>IF(T149="","",T149)</f>
        <v/>
      </c>
      <c r="BG149" s="1630"/>
      <c r="BH149" s="1630"/>
      <c r="BI149" s="1641">
        <v>0</v>
      </c>
    </row>
    <row customHeight="1" ht="14.25">
      <c r="A150" s="1369"/>
      <c r="B150" s="1369"/>
      <c r="C150" s="1369"/>
      <c r="D150" s="1369"/>
      <c r="E150" s="2265"/>
      <c r="F150" s="2265"/>
      <c r="G150" s="2265"/>
      <c r="H150" s="2265"/>
      <c r="I150" s="2292"/>
      <c r="J150" s="2292"/>
      <c r="K150" s="2262" t="str">
        <f>S146&amp;".1"</f>
        <v>.1.1</v>
      </c>
      <c r="L150" s="1375"/>
      <c r="M150" s="1782"/>
      <c r="N150" s="1782"/>
      <c r="O150" s="1782"/>
      <c r="P150" s="2380"/>
      <c r="Q150" s="2380"/>
      <c r="R150" s="2353">
        <v>1</v>
      </c>
      <c r="S150" s="2347" t="str">
        <f>$K150</f>
        <v>.1.1</v>
      </c>
      <c r="T150" s="2366"/>
      <c r="U150" s="306"/>
      <c r="V150" s="757"/>
      <c r="W150" s="1263"/>
      <c r="X150" s="757"/>
      <c r="Y150" s="1263"/>
      <c r="Z150" s="2608"/>
      <c r="AA150" s="2113" t="s">
        <v>62</v>
      </c>
      <c r="AB150" s="2608"/>
      <c r="AC150" s="2113" t="s">
        <v>62</v>
      </c>
      <c r="AD150" s="2191" t="s">
        <v>62</v>
      </c>
      <c r="AE150" s="2332"/>
      <c r="AF150" s="2443">
        <v>1</v>
      </c>
      <c r="AG150" s="2369"/>
      <c r="AH150" s="2113" t="s">
        <v>62</v>
      </c>
      <c r="AI150" s="2332"/>
      <c r="AJ150" s="2443">
        <v>1</v>
      </c>
      <c r="AK150" s="2333" t="s">
        <v>28</v>
      </c>
      <c r="AL150" s="2113" t="s">
        <v>62</v>
      </c>
      <c r="AM150" s="2300"/>
      <c r="AN150" s="2443">
        <v>1</v>
      </c>
      <c r="AO150" s="2363"/>
      <c r="AP150" s="2364" t="s">
        <v>62</v>
      </c>
      <c r="AQ150" s="689" t="s">
        <v>253</v>
      </c>
      <c r="AR150" s="2443" t="s">
        <v>112</v>
      </c>
      <c r="AS150" s="2582" t="s">
        <v>530</v>
      </c>
      <c r="AT150" s="757"/>
      <c r="AU150" s="1263"/>
      <c r="AV150" s="757"/>
      <c r="AW150" s="1263">
        <v>12657.41</v>
      </c>
      <c r="AX150" s="2608">
        <v>46023.61767361111</v>
      </c>
      <c r="AY150" s="2113" t="s">
        <v>62</v>
      </c>
      <c r="AZ150" s="2608">
        <v>46387.631631944445</v>
      </c>
      <c r="BA150" s="2113" t="s">
        <v>62</v>
      </c>
      <c r="BB150" s="1354"/>
      <c r="BC150" s="2259" t="s">
        <v>514</v>
      </c>
      <c r="BD150" s="1648"/>
      <c r="BE150" s="1630"/>
      <c r="BF150" s="1630" t="str">
        <f>IF(T150="","",T150)</f>
        <v/>
      </c>
      <c r="BG150" s="1630"/>
      <c r="BH150" s="1630"/>
      <c r="BI150" s="1641">
        <v>0</v>
      </c>
    </row>
    <row customHeight="1" ht="14.25">
      <c r="A151" s="1369"/>
      <c r="B151" s="1369"/>
      <c r="C151" s="1369"/>
      <c r="D151" s="1369"/>
      <c r="E151" s="2265"/>
      <c r="F151" s="2265"/>
      <c r="G151" s="2265"/>
      <c r="H151" s="2265"/>
      <c r="I151" s="2292"/>
      <c r="J151" s="2292"/>
      <c r="K151" s="2262" t="str">
        <f>S147&amp;".1"</f>
        <v>.1</v>
      </c>
      <c r="L151" s="1375"/>
      <c r="M151" s="1782"/>
      <c r="N151" s="1782"/>
      <c r="O151" s="1782"/>
      <c r="P151" s="2380"/>
      <c r="Q151" s="2380"/>
      <c r="R151" s="2353">
        <v>1</v>
      </c>
      <c r="S151" s="2347" t="str">
        <f>$K151</f>
        <v>.1</v>
      </c>
      <c r="T151" s="2366"/>
      <c r="U151" s="306"/>
      <c r="V151" s="757"/>
      <c r="W151" s="1263"/>
      <c r="X151" s="757"/>
      <c r="Y151" s="1263"/>
      <c r="Z151" s="2608"/>
      <c r="AA151" s="2113" t="s">
        <v>62</v>
      </c>
      <c r="AB151" s="2608"/>
      <c r="AC151" s="2113" t="s">
        <v>62</v>
      </c>
      <c r="AD151" s="2191" t="s">
        <v>62</v>
      </c>
      <c r="AE151" s="2332"/>
      <c r="AF151" s="2443">
        <v>1</v>
      </c>
      <c r="AG151" s="2369"/>
      <c r="AH151" s="2113" t="s">
        <v>62</v>
      </c>
      <c r="AI151" s="2332"/>
      <c r="AJ151" s="2443">
        <v>1</v>
      </c>
      <c r="AK151" s="2333" t="s">
        <v>28</v>
      </c>
      <c r="AL151" s="2113" t="s">
        <v>62</v>
      </c>
      <c r="AM151" s="2300"/>
      <c r="AN151" s="2443">
        <v>1</v>
      </c>
      <c r="AO151" s="2363"/>
      <c r="AP151" s="2364" t="s">
        <v>62</v>
      </c>
      <c r="AQ151" s="689" t="s">
        <v>253</v>
      </c>
      <c r="AR151" s="2443" t="s">
        <v>91</v>
      </c>
      <c r="AS151" s="2582" t="s">
        <v>530</v>
      </c>
      <c r="AT151" s="757"/>
      <c r="AU151" s="1263"/>
      <c r="AV151" s="757"/>
      <c r="AW151" s="1263">
        <v>9773.81</v>
      </c>
      <c r="AX151" s="2608">
        <v>46023.61770833333</v>
      </c>
      <c r="AY151" s="2113" t="s">
        <v>62</v>
      </c>
      <c r="AZ151" s="2608">
        <v>46387.631736111114</v>
      </c>
      <c r="BA151" s="2113" t="s">
        <v>62</v>
      </c>
      <c r="BB151" s="1354"/>
      <c r="BC151" s="2259" t="s">
        <v>514</v>
      </c>
      <c r="BD151" s="1648"/>
      <c r="BE151" s="1630"/>
      <c r="BF151" s="1630" t="str">
        <f>IF(T151="","",T151)</f>
        <v/>
      </c>
      <c r="BG151" s="1630"/>
      <c r="BH151" s="1630"/>
      <c r="BI151" s="1641">
        <v>0</v>
      </c>
    </row>
    <row customHeight="1" ht="14.25">
      <c r="A152" s="1369"/>
      <c r="B152" s="1369"/>
      <c r="C152" s="1369"/>
      <c r="D152" s="1369"/>
      <c r="E152" s="2265"/>
      <c r="F152" s="2265"/>
      <c r="G152" s="2265"/>
      <c r="H152" s="2265"/>
      <c r="I152" s="2292"/>
      <c r="J152" s="2292"/>
      <c r="K152" s="2262" t="str">
        <f>S148&amp;".1"</f>
        <v>.1</v>
      </c>
      <c r="L152" s="1375"/>
      <c r="M152" s="1782"/>
      <c r="N152" s="1782"/>
      <c r="O152" s="1782"/>
      <c r="P152" s="2380"/>
      <c r="Q152" s="2380"/>
      <c r="R152" s="2353">
        <v>1</v>
      </c>
      <c r="S152" s="2347" t="str">
        <f>$K152</f>
        <v>.1</v>
      </c>
      <c r="T152" s="2366"/>
      <c r="U152" s="306"/>
      <c r="V152" s="757"/>
      <c r="W152" s="1263"/>
      <c r="X152" s="757"/>
      <c r="Y152" s="1263"/>
      <c r="Z152" s="2608"/>
      <c r="AA152" s="2113" t="s">
        <v>62</v>
      </c>
      <c r="AB152" s="2608"/>
      <c r="AC152" s="2113" t="s">
        <v>62</v>
      </c>
      <c r="AD152" s="2191" t="s">
        <v>62</v>
      </c>
      <c r="AE152" s="2332"/>
      <c r="AF152" s="2443">
        <v>1</v>
      </c>
      <c r="AG152" s="2369"/>
      <c r="AH152" s="2113" t="s">
        <v>62</v>
      </c>
      <c r="AI152" s="2332"/>
      <c r="AJ152" s="2443">
        <v>1</v>
      </c>
      <c r="AK152" s="2333" t="s">
        <v>28</v>
      </c>
      <c r="AL152" s="2113" t="s">
        <v>62</v>
      </c>
      <c r="AM152" s="2300"/>
      <c r="AN152" s="2443">
        <v>1</v>
      </c>
      <c r="AO152" s="2363"/>
      <c r="AP152" s="2364" t="s">
        <v>62</v>
      </c>
      <c r="AQ152" s="689" t="s">
        <v>253</v>
      </c>
      <c r="AR152" s="2443" t="s">
        <v>92</v>
      </c>
      <c r="AS152" s="2582" t="s">
        <v>530</v>
      </c>
      <c r="AT152" s="757"/>
      <c r="AU152" s="1263"/>
      <c r="AV152" s="757"/>
      <c r="AW152" s="1263">
        <v>12936.42</v>
      </c>
      <c r="AX152" s="2608">
        <v>46023.617743055554</v>
      </c>
      <c r="AY152" s="2113" t="s">
        <v>62</v>
      </c>
      <c r="AZ152" s="2608">
        <v>46387.63180555555</v>
      </c>
      <c r="BA152" s="2113" t="s">
        <v>62</v>
      </c>
      <c r="BB152" s="1354"/>
      <c r="BC152" s="2259" t="s">
        <v>514</v>
      </c>
      <c r="BD152" s="1648"/>
      <c r="BE152" s="1630"/>
      <c r="BF152" s="1630" t="str">
        <f>IF(T152="","",T152)</f>
        <v/>
      </c>
      <c r="BG152" s="1630"/>
      <c r="BH152" s="1630"/>
      <c r="BI152" s="1641">
        <v>0</v>
      </c>
    </row>
    <row customHeight="1" ht="14.25">
      <c r="A153" s="1369"/>
      <c r="B153" s="1369"/>
      <c r="C153" s="1369"/>
      <c r="D153" s="1369"/>
      <c r="E153" s="2265"/>
      <c r="F153" s="2265"/>
      <c r="G153" s="2265"/>
      <c r="H153" s="2265"/>
      <c r="I153" s="2292"/>
      <c r="J153" s="2292"/>
      <c r="K153" s="2262"/>
      <c r="L153" s="1375"/>
      <c r="M153" s="1782"/>
      <c r="N153" s="1782"/>
      <c r="O153" s="1782"/>
      <c r="P153" s="2380"/>
      <c r="Q153" s="2380"/>
      <c r="R153" s="2353"/>
      <c r="S153" s="2348"/>
      <c r="T153" s="2367"/>
      <c r="U153" s="306"/>
      <c r="V153" s="3693"/>
      <c r="W153" s="3694"/>
      <c r="X153" s="3695"/>
      <c r="Y153" s="3696"/>
      <c r="Z153" s="3697"/>
      <c r="AA153" s="3698"/>
      <c r="AB153" s="3699"/>
      <c r="AC153" s="3700"/>
      <c r="AD153" s="2192"/>
      <c r="AE153" s="2332"/>
      <c r="AF153" s="2443"/>
      <c r="AG153" s="2369"/>
      <c r="AH153" s="2113"/>
      <c r="AI153" s="2332"/>
      <c r="AJ153" s="2443" t="s">
        <v>91</v>
      </c>
      <c r="AK153" s="2333"/>
      <c r="AL153" s="2113"/>
      <c r="AM153" s="2301"/>
      <c r="AN153" s="2443"/>
      <c r="AO153" s="2683" t="s">
        <v>28</v>
      </c>
      <c r="AP153" s="2365"/>
      <c r="AQ153" s="3701"/>
      <c r="AR153" s="3702"/>
      <c r="AS153" s="3703" t="s">
        <v>515</v>
      </c>
      <c r="AT153" s="3704"/>
      <c r="AU153" s="3705"/>
      <c r="AV153" s="3706"/>
      <c r="AW153" s="3707"/>
      <c r="AX153" s="3708"/>
      <c r="AY153" s="3709"/>
      <c r="AZ153" s="3710"/>
      <c r="BA153" s="3711"/>
      <c r="BB153" s="3712"/>
      <c r="BC153" s="2260"/>
      <c r="BD153" s="1648"/>
      <c r="BE153" s="1630"/>
      <c r="BF153" s="1630"/>
      <c r="BG153" s="1630"/>
      <c r="BH153" s="1630"/>
      <c r="BI153" s="1641">
        <v>0</v>
      </c>
    </row>
    <row customHeight="1" ht="14.25">
      <c r="A154" s="1369"/>
      <c r="B154" s="1369"/>
      <c r="C154" s="1369"/>
      <c r="D154" s="1369"/>
      <c r="E154" s="2265"/>
      <c r="F154" s="2265"/>
      <c r="G154" s="2265"/>
      <c r="H154" s="2265"/>
      <c r="I154" s="2292"/>
      <c r="J154" s="2292"/>
      <c r="K154" s="2262"/>
      <c r="L154" s="1375"/>
      <c r="M154" s="1782"/>
      <c r="N154" s="1782"/>
      <c r="O154" s="1782"/>
      <c r="P154" s="2380"/>
      <c r="Q154" s="2380"/>
      <c r="R154" s="2353"/>
      <c r="S154" s="2348"/>
      <c r="T154" s="2367"/>
      <c r="U154" s="306"/>
      <c r="V154" s="3713"/>
      <c r="W154" s="3714"/>
      <c r="X154" s="3715"/>
      <c r="Y154" s="3716"/>
      <c r="Z154" s="3717"/>
      <c r="AA154" s="3718"/>
      <c r="AB154" s="3719"/>
      <c r="AC154" s="3720"/>
      <c r="AD154" s="2192"/>
      <c r="AE154" s="2332"/>
      <c r="AF154" s="2443"/>
      <c r="AG154" s="2369"/>
      <c r="AH154" s="2113"/>
      <c r="AI154" s="2332"/>
      <c r="AJ154" s="2443" t="s">
        <v>91</v>
      </c>
      <c r="AK154" s="2333"/>
      <c r="AL154" s="2113"/>
      <c r="AM154" s="3721"/>
      <c r="AN154" s="3722"/>
      <c r="AO154" s="3723" t="s">
        <v>516</v>
      </c>
      <c r="AP154" s="3724"/>
      <c r="AQ154" s="3725"/>
      <c r="AR154" s="3726"/>
      <c r="AS154" s="3727"/>
      <c r="AT154" s="3728"/>
      <c r="AU154" s="3729"/>
      <c r="AV154" s="3730"/>
      <c r="AW154" s="3731"/>
      <c r="AX154" s="3732"/>
      <c r="AY154" s="3733"/>
      <c r="AZ154" s="3734"/>
      <c r="BA154" s="3735"/>
      <c r="BB154" s="3736"/>
      <c r="BC154" s="2260"/>
      <c r="BD154" s="1648"/>
      <c r="BE154" s="1630"/>
      <c r="BF154" s="1630"/>
      <c r="BG154" s="1630"/>
      <c r="BH154" s="1630"/>
      <c r="BI154" s="1641">
        <v>0</v>
      </c>
    </row>
    <row customHeight="1" ht="14.25">
      <c r="A155" s="1369"/>
      <c r="B155" s="1369"/>
      <c r="C155" s="1369"/>
      <c r="D155" s="1369"/>
      <c r="E155" s="2265"/>
      <c r="F155" s="2265"/>
      <c r="G155" s="2265"/>
      <c r="H155" s="2265"/>
      <c r="I155" s="2292"/>
      <c r="J155" s="2292"/>
      <c r="K155" s="2262" t="str">
        <f>S148&amp;".1"</f>
        <v>.1</v>
      </c>
      <c r="L155" s="1375"/>
      <c r="M155" s="1782"/>
      <c r="N155" s="1782"/>
      <c r="O155" s="1782"/>
      <c r="P155" s="2380"/>
      <c r="Q155" s="2380"/>
      <c r="R155" s="2353">
        <v>1</v>
      </c>
      <c r="S155" s="2347" t="str">
        <f>$K155</f>
        <v>.1</v>
      </c>
      <c r="T155" s="2366"/>
      <c r="U155" s="306"/>
      <c r="V155" s="757"/>
      <c r="W155" s="1263"/>
      <c r="X155" s="757"/>
      <c r="Y155" s="1263"/>
      <c r="Z155" s="2608"/>
      <c r="AA155" s="2113" t="s">
        <v>62</v>
      </c>
      <c r="AB155" s="2608"/>
      <c r="AC155" s="2113" t="s">
        <v>62</v>
      </c>
      <c r="AD155" s="2191" t="s">
        <v>62</v>
      </c>
      <c r="AE155" s="2332"/>
      <c r="AF155" s="2443">
        <v>1</v>
      </c>
      <c r="AG155" s="2369"/>
      <c r="AH155" s="2113" t="s">
        <v>62</v>
      </c>
      <c r="AI155" s="689" t="s">
        <v>253</v>
      </c>
      <c r="AJ155" s="2443" t="s">
        <v>113</v>
      </c>
      <c r="AK155" s="2333" t="s">
        <v>536</v>
      </c>
      <c r="AL155" s="2113" t="s">
        <v>19</v>
      </c>
      <c r="AM155" s="2300"/>
      <c r="AN155" s="2443">
        <v>1</v>
      </c>
      <c r="AO155" s="2683" t="s">
        <v>28</v>
      </c>
      <c r="AP155" s="2364" t="s">
        <v>62</v>
      </c>
      <c r="AQ155" s="317"/>
      <c r="AR155" s="2443">
        <v>1</v>
      </c>
      <c r="AS155" s="2582" t="s">
        <v>530</v>
      </c>
      <c r="AT155" s="757"/>
      <c r="AU155" s="1263"/>
      <c r="AV155" s="757"/>
      <c r="AW155" s="1263">
        <v>12696.12</v>
      </c>
      <c r="AX155" s="2608">
        <v>46023.61777777778</v>
      </c>
      <c r="AY155" s="2113" t="s">
        <v>62</v>
      </c>
      <c r="AZ155" s="2608">
        <v>46387.63195601852</v>
      </c>
      <c r="BA155" s="2113" t="s">
        <v>62</v>
      </c>
      <c r="BB155" s="1354"/>
      <c r="BC155" s="2259" t="s">
        <v>514</v>
      </c>
      <c r="BD155" s="1648"/>
      <c r="BE155" s="1630"/>
      <c r="BF155" s="1630" t="str">
        <f>IF(T155="","",T155)</f>
        <v/>
      </c>
      <c r="BG155" s="1630"/>
      <c r="BH155" s="1630"/>
      <c r="BI155" s="1641">
        <v>0</v>
      </c>
    </row>
    <row customHeight="1" ht="14.25">
      <c r="A156" s="1369"/>
      <c r="B156" s="1369"/>
      <c r="C156" s="1369"/>
      <c r="D156" s="1369"/>
      <c r="E156" s="2265"/>
      <c r="F156" s="2265"/>
      <c r="G156" s="2265"/>
      <c r="H156" s="2265"/>
      <c r="I156" s="2292"/>
      <c r="J156" s="2292"/>
      <c r="K156" s="2262" t="str">
        <f>S152&amp;".1"</f>
        <v>.1.1</v>
      </c>
      <c r="L156" s="1375"/>
      <c r="M156" s="1782"/>
      <c r="N156" s="1782"/>
      <c r="O156" s="1782"/>
      <c r="P156" s="2380"/>
      <c r="Q156" s="2380"/>
      <c r="R156" s="2353">
        <v>1</v>
      </c>
      <c r="S156" s="2347" t="str">
        <f>$K156</f>
        <v>.1.1</v>
      </c>
      <c r="T156" s="2366"/>
      <c r="U156" s="306"/>
      <c r="V156" s="757"/>
      <c r="W156" s="1263"/>
      <c r="X156" s="757"/>
      <c r="Y156" s="1263"/>
      <c r="Z156" s="2608"/>
      <c r="AA156" s="2113" t="s">
        <v>62</v>
      </c>
      <c r="AB156" s="2608"/>
      <c r="AC156" s="2113" t="s">
        <v>62</v>
      </c>
      <c r="AD156" s="2191" t="s">
        <v>62</v>
      </c>
      <c r="AE156" s="2332"/>
      <c r="AF156" s="2443">
        <v>1</v>
      </c>
      <c r="AG156" s="2369"/>
      <c r="AH156" s="2113" t="s">
        <v>62</v>
      </c>
      <c r="AI156" s="2332"/>
      <c r="AJ156" s="2443">
        <v>1</v>
      </c>
      <c r="AK156" s="2333" t="s">
        <v>28</v>
      </c>
      <c r="AL156" s="2113" t="s">
        <v>62</v>
      </c>
      <c r="AM156" s="2300"/>
      <c r="AN156" s="2443">
        <v>1</v>
      </c>
      <c r="AO156" s="2363"/>
      <c r="AP156" s="2364" t="s">
        <v>62</v>
      </c>
      <c r="AQ156" s="689" t="s">
        <v>253</v>
      </c>
      <c r="AR156" s="2443" t="s">
        <v>112</v>
      </c>
      <c r="AS156" s="2582" t="s">
        <v>530</v>
      </c>
      <c r="AT156" s="757"/>
      <c r="AU156" s="1263"/>
      <c r="AV156" s="757"/>
      <c r="AW156" s="1263">
        <v>15903.53</v>
      </c>
      <c r="AX156" s="2608">
        <v>46023.6178125</v>
      </c>
      <c r="AY156" s="2113" t="s">
        <v>62</v>
      </c>
      <c r="AZ156" s="2608">
        <v>46387.632060185184</v>
      </c>
      <c r="BA156" s="2113" t="s">
        <v>62</v>
      </c>
      <c r="BB156" s="1354"/>
      <c r="BC156" s="2259" t="s">
        <v>514</v>
      </c>
      <c r="BD156" s="1648"/>
      <c r="BE156" s="1630"/>
      <c r="BF156" s="1630" t="str">
        <f>IF(T156="","",T156)</f>
        <v/>
      </c>
      <c r="BG156" s="1630"/>
      <c r="BH156" s="1630"/>
      <c r="BI156" s="1641">
        <v>0</v>
      </c>
    </row>
    <row customHeight="1" ht="14.25">
      <c r="A157" s="1369"/>
      <c r="B157" s="1369"/>
      <c r="C157" s="1369"/>
      <c r="D157" s="1369"/>
      <c r="E157" s="2265"/>
      <c r="F157" s="2265"/>
      <c r="G157" s="2265"/>
      <c r="H157" s="2265"/>
      <c r="I157" s="2292"/>
      <c r="J157" s="2292"/>
      <c r="K157" s="2262"/>
      <c r="L157" s="1375"/>
      <c r="M157" s="1782"/>
      <c r="N157" s="1782"/>
      <c r="O157" s="1782"/>
      <c r="P157" s="2380"/>
      <c r="Q157" s="2380"/>
      <c r="R157" s="2353"/>
      <c r="S157" s="2348"/>
      <c r="T157" s="2367"/>
      <c r="U157" s="306"/>
      <c r="V157" s="3737"/>
      <c r="W157" s="3738"/>
      <c r="X157" s="3739"/>
      <c r="Y157" s="3740"/>
      <c r="Z157" s="3741"/>
      <c r="AA157" s="3742"/>
      <c r="AB157" s="3743"/>
      <c r="AC157" s="3744"/>
      <c r="AD157" s="2192"/>
      <c r="AE157" s="2332"/>
      <c r="AF157" s="2443"/>
      <c r="AG157" s="2369"/>
      <c r="AH157" s="2113"/>
      <c r="AI157" s="2332"/>
      <c r="AJ157" s="2443" t="s">
        <v>92</v>
      </c>
      <c r="AK157" s="2333"/>
      <c r="AL157" s="2113"/>
      <c r="AM157" s="2301"/>
      <c r="AN157" s="2443"/>
      <c r="AO157" s="2683" t="s">
        <v>28</v>
      </c>
      <c r="AP157" s="2365"/>
      <c r="AQ157" s="3745"/>
      <c r="AR157" s="3746"/>
      <c r="AS157" s="3747" t="s">
        <v>515</v>
      </c>
      <c r="AT157" s="3748"/>
      <c r="AU157" s="3749"/>
      <c r="AV157" s="3750"/>
      <c r="AW157" s="3751"/>
      <c r="AX157" s="3752"/>
      <c r="AY157" s="3753"/>
      <c r="AZ157" s="3754"/>
      <c r="BA157" s="3755"/>
      <c r="BB157" s="3756"/>
      <c r="BC157" s="2260"/>
      <c r="BD157" s="1648"/>
      <c r="BE157" s="1630"/>
      <c r="BF157" s="1630"/>
      <c r="BG157" s="1630"/>
      <c r="BH157" s="1630"/>
      <c r="BI157" s="1641">
        <v>0</v>
      </c>
    </row>
    <row customHeight="1" ht="14.25">
      <c r="A158" s="1369"/>
      <c r="B158" s="1369"/>
      <c r="C158" s="1369"/>
      <c r="D158" s="1369"/>
      <c r="E158" s="2265"/>
      <c r="F158" s="2265"/>
      <c r="G158" s="2265"/>
      <c r="H158" s="2265"/>
      <c r="I158" s="2292"/>
      <c r="J158" s="2292"/>
      <c r="K158" s="2262"/>
      <c r="L158" s="1375"/>
      <c r="M158" s="1782"/>
      <c r="N158" s="1782"/>
      <c r="O158" s="1782"/>
      <c r="P158" s="2380"/>
      <c r="Q158" s="2380"/>
      <c r="R158" s="2353"/>
      <c r="S158" s="2348"/>
      <c r="T158" s="2367"/>
      <c r="U158" s="306"/>
      <c r="V158" s="3757"/>
      <c r="W158" s="3758"/>
      <c r="X158" s="3759"/>
      <c r="Y158" s="3760"/>
      <c r="Z158" s="3761"/>
      <c r="AA158" s="3762"/>
      <c r="AB158" s="3763"/>
      <c r="AC158" s="3764"/>
      <c r="AD158" s="2192"/>
      <c r="AE158" s="2332"/>
      <c r="AF158" s="2443"/>
      <c r="AG158" s="2369"/>
      <c r="AH158" s="2113"/>
      <c r="AI158" s="2332"/>
      <c r="AJ158" s="2443" t="s">
        <v>92</v>
      </c>
      <c r="AK158" s="2333"/>
      <c r="AL158" s="2113"/>
      <c r="AM158" s="3765"/>
      <c r="AN158" s="3766"/>
      <c r="AO158" s="3767" t="s">
        <v>516</v>
      </c>
      <c r="AP158" s="3768"/>
      <c r="AQ158" s="3769"/>
      <c r="AR158" s="3770"/>
      <c r="AS158" s="3771"/>
      <c r="AT158" s="3772"/>
      <c r="AU158" s="3773"/>
      <c r="AV158" s="3774"/>
      <c r="AW158" s="3775"/>
      <c r="AX158" s="3776"/>
      <c r="AY158" s="3777"/>
      <c r="AZ158" s="3778"/>
      <c r="BA158" s="3779"/>
      <c r="BB158" s="3780"/>
      <c r="BC158" s="2260"/>
      <c r="BD158" s="1648"/>
      <c r="BE158" s="1630"/>
      <c r="BF158" s="1630"/>
      <c r="BG158" s="1630"/>
      <c r="BH158" s="1630"/>
      <c r="BI158" s="1641">
        <v>0</v>
      </c>
    </row>
    <row customHeight="1" ht="14.25">
      <c r="A159" s="1369"/>
      <c r="B159" s="1369"/>
      <c r="C159" s="1369"/>
      <c r="D159" s="1369"/>
      <c r="E159" s="2265"/>
      <c r="F159" s="2265"/>
      <c r="G159" s="2265"/>
      <c r="H159" s="2265"/>
      <c r="I159" s="2292"/>
      <c r="J159" s="2292"/>
      <c r="K159" s="2262" t="str">
        <f>S154&amp;".1"</f>
        <v>.1</v>
      </c>
      <c r="L159" s="1375"/>
      <c r="M159" s="1782"/>
      <c r="N159" s="1782"/>
      <c r="O159" s="1782"/>
      <c r="P159" s="2380"/>
      <c r="Q159" s="2380"/>
      <c r="R159" s="2353">
        <v>1</v>
      </c>
      <c r="S159" s="2347" t="str">
        <f>$K159</f>
        <v>.1</v>
      </c>
      <c r="T159" s="2366"/>
      <c r="U159" s="306"/>
      <c r="V159" s="757"/>
      <c r="W159" s="1263"/>
      <c r="X159" s="757"/>
      <c r="Y159" s="1263"/>
      <c r="Z159" s="2608"/>
      <c r="AA159" s="2113" t="s">
        <v>62</v>
      </c>
      <c r="AB159" s="2608"/>
      <c r="AC159" s="2113" t="s">
        <v>62</v>
      </c>
      <c r="AD159" s="2191" t="s">
        <v>62</v>
      </c>
      <c r="AE159" s="2332"/>
      <c r="AF159" s="2443">
        <v>1</v>
      </c>
      <c r="AG159" s="2369"/>
      <c r="AH159" s="2113" t="s">
        <v>62</v>
      </c>
      <c r="AI159" s="689" t="s">
        <v>253</v>
      </c>
      <c r="AJ159" s="2443" t="s">
        <v>93</v>
      </c>
      <c r="AK159" s="2333" t="s">
        <v>537</v>
      </c>
      <c r="AL159" s="2113" t="s">
        <v>19</v>
      </c>
      <c r="AM159" s="2300"/>
      <c r="AN159" s="2443">
        <v>1</v>
      </c>
      <c r="AO159" s="2683" t="s">
        <v>28</v>
      </c>
      <c r="AP159" s="2364" t="s">
        <v>62</v>
      </c>
      <c r="AQ159" s="317"/>
      <c r="AR159" s="2443">
        <v>1</v>
      </c>
      <c r="AS159" s="2582" t="s">
        <v>530</v>
      </c>
      <c r="AT159" s="757"/>
      <c r="AU159" s="1263"/>
      <c r="AV159" s="757"/>
      <c r="AW159" s="1263">
        <v>15637.69</v>
      </c>
      <c r="AX159" s="2608">
        <v>46023.617847222224</v>
      </c>
      <c r="AY159" s="2113" t="s">
        <v>62</v>
      </c>
      <c r="AZ159" s="2608">
        <v>46387.63214120371</v>
      </c>
      <c r="BA159" s="2113" t="s">
        <v>62</v>
      </c>
      <c r="BB159" s="1354"/>
      <c r="BC159" s="2259" t="s">
        <v>514</v>
      </c>
      <c r="BD159" s="1648"/>
      <c r="BE159" s="1630"/>
      <c r="BF159" s="1630" t="str">
        <f>IF(T159="","",T159)</f>
        <v/>
      </c>
      <c r="BG159" s="1630"/>
      <c r="BH159" s="1630"/>
      <c r="BI159" s="1641">
        <v>0</v>
      </c>
    </row>
    <row customHeight="1" ht="14.25">
      <c r="A160" s="1369"/>
      <c r="B160" s="1369"/>
      <c r="C160" s="1369"/>
      <c r="D160" s="1369"/>
      <c r="E160" s="2265"/>
      <c r="F160" s="2265"/>
      <c r="G160" s="2265"/>
      <c r="H160" s="2265"/>
      <c r="I160" s="2292"/>
      <c r="J160" s="2292"/>
      <c r="K160" s="2262" t="str">
        <f>S156&amp;".1"</f>
        <v>.1.1.1</v>
      </c>
      <c r="L160" s="1375"/>
      <c r="M160" s="1782"/>
      <c r="N160" s="1782"/>
      <c r="O160" s="1782"/>
      <c r="P160" s="2380"/>
      <c r="Q160" s="2380"/>
      <c r="R160" s="2353">
        <v>1</v>
      </c>
      <c r="S160" s="2347" t="str">
        <f>$K160</f>
        <v>.1.1.1</v>
      </c>
      <c r="T160" s="2366"/>
      <c r="U160" s="306"/>
      <c r="V160" s="757"/>
      <c r="W160" s="1263"/>
      <c r="X160" s="757"/>
      <c r="Y160" s="1263"/>
      <c r="Z160" s="2608"/>
      <c r="AA160" s="2113" t="s">
        <v>62</v>
      </c>
      <c r="AB160" s="2608"/>
      <c r="AC160" s="2113" t="s">
        <v>62</v>
      </c>
      <c r="AD160" s="2191" t="s">
        <v>62</v>
      </c>
      <c r="AE160" s="2332"/>
      <c r="AF160" s="2443">
        <v>1</v>
      </c>
      <c r="AG160" s="2369"/>
      <c r="AH160" s="2113" t="s">
        <v>62</v>
      </c>
      <c r="AI160" s="2332"/>
      <c r="AJ160" s="2443">
        <v>1</v>
      </c>
      <c r="AK160" s="2333" t="s">
        <v>28</v>
      </c>
      <c r="AL160" s="2113" t="s">
        <v>62</v>
      </c>
      <c r="AM160" s="2300"/>
      <c r="AN160" s="2443">
        <v>1</v>
      </c>
      <c r="AO160" s="2363"/>
      <c r="AP160" s="2364" t="s">
        <v>62</v>
      </c>
      <c r="AQ160" s="689" t="s">
        <v>253</v>
      </c>
      <c r="AR160" s="2443" t="s">
        <v>112</v>
      </c>
      <c r="AS160" s="2582" t="s">
        <v>530</v>
      </c>
      <c r="AT160" s="757"/>
      <c r="AU160" s="1263"/>
      <c r="AV160" s="757"/>
      <c r="AW160" s="1263">
        <v>19036.82</v>
      </c>
      <c r="AX160" s="2608">
        <v>46023.61788194445</v>
      </c>
      <c r="AY160" s="2113" t="s">
        <v>62</v>
      </c>
      <c r="AZ160" s="2608">
        <v>46387.632256944446</v>
      </c>
      <c r="BA160" s="2113" t="s">
        <v>62</v>
      </c>
      <c r="BB160" s="1354"/>
      <c r="BC160" s="2259" t="s">
        <v>514</v>
      </c>
      <c r="BD160" s="1648"/>
      <c r="BE160" s="1630"/>
      <c r="BF160" s="1630" t="str">
        <f>IF(T160="","",T160)</f>
        <v/>
      </c>
      <c r="BG160" s="1630"/>
      <c r="BH160" s="1630"/>
      <c r="BI160" s="1641">
        <v>0</v>
      </c>
    </row>
    <row customHeight="1" ht="14.25">
      <c r="A161" s="1369"/>
      <c r="B161" s="1369"/>
      <c r="C161" s="1369"/>
      <c r="D161" s="1369"/>
      <c r="E161" s="2265"/>
      <c r="F161" s="2265"/>
      <c r="G161" s="2265"/>
      <c r="H161" s="2265"/>
      <c r="I161" s="2292"/>
      <c r="J161" s="2292"/>
      <c r="K161" s="2262"/>
      <c r="L161" s="1375"/>
      <c r="M161" s="1782"/>
      <c r="N161" s="1782"/>
      <c r="O161" s="1782"/>
      <c r="P161" s="2380"/>
      <c r="Q161" s="2380"/>
      <c r="R161" s="2353"/>
      <c r="S161" s="2348"/>
      <c r="T161" s="2367"/>
      <c r="U161" s="306"/>
      <c r="V161" s="3781"/>
      <c r="W161" s="3782"/>
      <c r="X161" s="3783"/>
      <c r="Y161" s="3784"/>
      <c r="Z161" s="3785"/>
      <c r="AA161" s="3786"/>
      <c r="AB161" s="3787"/>
      <c r="AC161" s="3788"/>
      <c r="AD161" s="2192"/>
      <c r="AE161" s="2332"/>
      <c r="AF161" s="2443"/>
      <c r="AG161" s="2369"/>
      <c r="AH161" s="2113"/>
      <c r="AI161" s="2332"/>
      <c r="AJ161" s="2443" t="s">
        <v>113</v>
      </c>
      <c r="AK161" s="2333"/>
      <c r="AL161" s="2113"/>
      <c r="AM161" s="2301"/>
      <c r="AN161" s="2443"/>
      <c r="AO161" s="2683" t="s">
        <v>28</v>
      </c>
      <c r="AP161" s="2365"/>
      <c r="AQ161" s="3789"/>
      <c r="AR161" s="3790"/>
      <c r="AS161" s="3791" t="s">
        <v>515</v>
      </c>
      <c r="AT161" s="3792"/>
      <c r="AU161" s="3793"/>
      <c r="AV161" s="3794"/>
      <c r="AW161" s="3795"/>
      <c r="AX161" s="3796"/>
      <c r="AY161" s="3797"/>
      <c r="AZ161" s="3798"/>
      <c r="BA161" s="3799"/>
      <c r="BB161" s="3800"/>
      <c r="BC161" s="2260"/>
      <c r="BD161" s="1648"/>
      <c r="BE161" s="1630"/>
      <c r="BF161" s="1630"/>
      <c r="BG161" s="1630"/>
      <c r="BH161" s="1630"/>
      <c r="BI161" s="1641">
        <v>0</v>
      </c>
    </row>
    <row customHeight="1" ht="14.25">
      <c r="A162" s="1369"/>
      <c r="B162" s="1369"/>
      <c r="C162" s="1369"/>
      <c r="D162" s="1369"/>
      <c r="E162" s="2265"/>
      <c r="F162" s="2265"/>
      <c r="G162" s="2265"/>
      <c r="H162" s="2265"/>
      <c r="I162" s="2292"/>
      <c r="J162" s="2292"/>
      <c r="K162" s="2262"/>
      <c r="L162" s="1375"/>
      <c r="M162" s="1782"/>
      <c r="N162" s="1782"/>
      <c r="O162" s="1782"/>
      <c r="P162" s="2380"/>
      <c r="Q162" s="2380"/>
      <c r="R162" s="2353"/>
      <c r="S162" s="2348"/>
      <c r="T162" s="2367"/>
      <c r="U162" s="306"/>
      <c r="V162" s="3801"/>
      <c r="W162" s="3802"/>
      <c r="X162" s="3803"/>
      <c r="Y162" s="3804"/>
      <c r="Z162" s="3805"/>
      <c r="AA162" s="3806"/>
      <c r="AB162" s="3807"/>
      <c r="AC162" s="3808"/>
      <c r="AD162" s="2192"/>
      <c r="AE162" s="2332"/>
      <c r="AF162" s="2443"/>
      <c r="AG162" s="2369"/>
      <c r="AH162" s="2113"/>
      <c r="AI162" s="2332"/>
      <c r="AJ162" s="2443" t="s">
        <v>113</v>
      </c>
      <c r="AK162" s="2333"/>
      <c r="AL162" s="2113"/>
      <c r="AM162" s="3809"/>
      <c r="AN162" s="3810"/>
      <c r="AO162" s="3811" t="s">
        <v>516</v>
      </c>
      <c r="AP162" s="3812"/>
      <c r="AQ162" s="3813"/>
      <c r="AR162" s="3814"/>
      <c r="AS162" s="3815"/>
      <c r="AT162" s="3816"/>
      <c r="AU162" s="3817"/>
      <c r="AV162" s="3818"/>
      <c r="AW162" s="3819"/>
      <c r="AX162" s="3820"/>
      <c r="AY162" s="3821"/>
      <c r="AZ162" s="3822"/>
      <c r="BA162" s="3823"/>
      <c r="BB162" s="3824"/>
      <c r="BC162" s="2260"/>
      <c r="BD162" s="1648"/>
      <c r="BE162" s="1630"/>
      <c r="BF162" s="1630"/>
      <c r="BG162" s="1630"/>
      <c r="BH162" s="1630"/>
      <c r="BI162" s="1641">
        <v>0</v>
      </c>
    </row>
    <row customHeight="1" ht="14.25">
      <c r="A163" s="1369"/>
      <c r="B163" s="1369"/>
      <c r="C163" s="1369"/>
      <c r="D163" s="1369"/>
      <c r="E163" s="2265"/>
      <c r="F163" s="2265"/>
      <c r="G163" s="2265"/>
      <c r="H163" s="2265"/>
      <c r="I163" s="2292"/>
      <c r="J163" s="2292"/>
      <c r="K163" s="2262" t="str">
        <f>S65&amp;".2"</f>
        <v>2.1.1.2</v>
      </c>
      <c r="L163" s="1375"/>
      <c r="M163" s="1782"/>
      <c r="N163" s="1782"/>
      <c r="O163" s="1782"/>
      <c r="P163" s="2380"/>
      <c r="Q163" s="2380"/>
      <c r="R163" s="2353"/>
      <c r="S163" s="2348"/>
      <c r="T163" s="2367"/>
      <c r="U163" s="306"/>
      <c r="V163" s="3825"/>
      <c r="W163" s="3826"/>
      <c r="X163" s="3827"/>
      <c r="Y163" s="3828"/>
      <c r="Z163" s="3829"/>
      <c r="AA163" s="3830"/>
      <c r="AB163" s="3831"/>
      <c r="AC163" s="3832"/>
      <c r="AD163" s="2192"/>
      <c r="AE163" s="2332"/>
      <c r="AF163" s="2443"/>
      <c r="AG163" s="2682" t="s">
        <v>28</v>
      </c>
      <c r="AH163" s="2113"/>
      <c r="AI163" s="3833"/>
      <c r="AJ163" s="3834"/>
      <c r="AK163" s="3835" t="s">
        <v>517</v>
      </c>
      <c r="AL163" s="3836"/>
      <c r="AM163" s="3837"/>
      <c r="AN163" s="3838"/>
      <c r="AO163" s="3839"/>
      <c r="AP163" s="3840"/>
      <c r="AQ163" s="3841"/>
      <c r="AR163" s="3842"/>
      <c r="AS163" s="3843"/>
      <c r="AT163" s="3844"/>
      <c r="AU163" s="3845"/>
      <c r="AV163" s="3846"/>
      <c r="AW163" s="3847"/>
      <c r="AX163" s="3848"/>
      <c r="AY163" s="3849"/>
      <c r="AZ163" s="3850"/>
      <c r="BA163" s="3851"/>
      <c r="BB163" s="3852"/>
      <c r="BC163" s="2260"/>
      <c r="BD163" s="1648"/>
      <c r="BE163" s="1630"/>
      <c r="BF163" s="1630"/>
      <c r="BG163" s="1630"/>
      <c r="BH163" s="1630"/>
      <c r="BI163" s="1641">
        <v>0</v>
      </c>
    </row>
    <row customHeight="1" ht="14.25">
      <c r="A164" s="1369"/>
      <c r="B164" s="1369"/>
      <c r="C164" s="1369"/>
      <c r="D164" s="1369"/>
      <c r="E164" s="2265"/>
      <c r="F164" s="2265"/>
      <c r="G164" s="2265"/>
      <c r="H164" s="2265"/>
      <c r="I164" s="2292"/>
      <c r="J164" s="2292"/>
      <c r="K164" s="2262" t="str">
        <f>S65&amp;".2"</f>
        <v>2.1.1.2</v>
      </c>
      <c r="L164" s="1375"/>
      <c r="M164" s="1782"/>
      <c r="N164" s="1782"/>
      <c r="O164" s="1782"/>
      <c r="P164" s="2380"/>
      <c r="Q164" s="2380"/>
      <c r="R164" s="2353"/>
      <c r="S164" s="2349"/>
      <c r="T164" s="2368"/>
      <c r="U164" s="306"/>
      <c r="V164" s="3853"/>
      <c r="W164" s="3854" t="str">
        <f>Z133&amp;"-"&amp;AB133</f>
        <v>-</v>
      </c>
      <c r="X164" s="3855"/>
      <c r="Y164" s="3856" t="str">
        <f>AB133&amp;"-"&amp;AD133</f>
        <v>-нет</v>
      </c>
      <c r="Z164" s="3857"/>
      <c r="AA164" s="3858"/>
      <c r="AB164" s="3859"/>
      <c r="AC164" s="3860"/>
      <c r="AD164" s="2118"/>
      <c r="AE164" s="3861"/>
      <c r="AF164" s="3862"/>
      <c r="AG164" s="3863" t="s">
        <v>518</v>
      </c>
      <c r="AH164" s="3864"/>
      <c r="AI164" s="3865"/>
      <c r="AJ164" s="3866"/>
      <c r="AK164" s="3867"/>
      <c r="AL164" s="3868"/>
      <c r="AM164" s="3869"/>
      <c r="AN164" s="3870"/>
      <c r="AO164" s="3871"/>
      <c r="AP164" s="3872"/>
      <c r="AQ164" s="3873"/>
      <c r="AR164" s="3874"/>
      <c r="AS164" s="3875"/>
      <c r="AT164" s="3876"/>
      <c r="AU164" s="3877" t="str">
        <f>AX133&amp;"-"&amp;AZ133</f>
        <v>46023.61722222222-46387.63049768518</v>
      </c>
      <c r="AV164" s="3878"/>
      <c r="AW164" s="3879" t="str">
        <f>AZ133&amp;"-"&amp;BB133</f>
        <v>46387.63049768518-</v>
      </c>
      <c r="AX164" s="3880"/>
      <c r="AY164" s="3881"/>
      <c r="AZ164" s="3882"/>
      <c r="BA164" s="3883"/>
      <c r="BB164" s="3884" t="str">
        <f>BE133&amp;"-"&amp;BG133</f>
        <v>-</v>
      </c>
      <c r="BC164" s="2260"/>
      <c r="BD164" s="1648"/>
      <c r="BE164" s="1630"/>
      <c r="BF164" s="1630" t="str">
        <f>IF(T164="","",T164)</f>
        <v/>
      </c>
      <c r="BG164" s="1630"/>
      <c r="BH164" s="1630"/>
      <c r="BI164" s="1641">
        <v>0</v>
      </c>
    </row>
    <row customHeight="1" ht="14.25">
      <c r="A165" s="1369"/>
      <c r="B165" s="1369"/>
      <c r="C165" s="1369"/>
      <c r="D165" s="1369"/>
      <c r="E165" s="2265"/>
      <c r="F165" s="2265"/>
      <c r="G165" s="2265"/>
      <c r="H165" s="2265"/>
      <c r="I165" s="2292"/>
      <c r="J165" s="2292"/>
      <c r="K165" s="2262" t="str">
        <f>S65&amp;".4"</f>
        <v>2.1.1.4</v>
      </c>
      <c r="L165" s="1375"/>
      <c r="M165" s="1782"/>
      <c r="N165" s="1782"/>
      <c r="O165" s="1782"/>
      <c r="P165" s="2380"/>
      <c r="Q165" s="2380"/>
      <c r="R165" s="689" t="s">
        <v>253</v>
      </c>
      <c r="S165" s="2347" t="str">
        <f>$K165</f>
        <v>2.1.1.4</v>
      </c>
      <c r="T165" s="2366" t="s">
        <v>540</v>
      </c>
      <c r="U165" s="306"/>
      <c r="V165" s="757"/>
      <c r="W165" s="1263"/>
      <c r="X165" s="757"/>
      <c r="Y165" s="1263"/>
      <c r="Z165" s="2608"/>
      <c r="AA165" s="2113" t="s">
        <v>62</v>
      </c>
      <c r="AB165" s="2608"/>
      <c r="AC165" s="2113" t="s">
        <v>62</v>
      </c>
      <c r="AD165" s="2191" t="s">
        <v>19</v>
      </c>
      <c r="AE165" s="2332"/>
      <c r="AF165" s="2443">
        <v>1</v>
      </c>
      <c r="AG165" s="2682" t="s">
        <v>28</v>
      </c>
      <c r="AH165" s="2113" t="s">
        <v>62</v>
      </c>
      <c r="AI165" s="2332"/>
      <c r="AJ165" s="2443">
        <v>1</v>
      </c>
      <c r="AK165" s="2333" t="s">
        <v>533</v>
      </c>
      <c r="AL165" s="2113" t="s">
        <v>19</v>
      </c>
      <c r="AM165" s="2300"/>
      <c r="AN165" s="2443">
        <v>1</v>
      </c>
      <c r="AO165" s="2683" t="s">
        <v>28</v>
      </c>
      <c r="AP165" s="2364" t="s">
        <v>62</v>
      </c>
      <c r="AQ165" s="317"/>
      <c r="AR165" s="2443">
        <v>1</v>
      </c>
      <c r="AS165" s="2582" t="s">
        <v>530</v>
      </c>
      <c r="AT165" s="757"/>
      <c r="AU165" s="1263"/>
      <c r="AV165" s="757"/>
      <c r="AW165" s="1263">
        <v>2471.68</v>
      </c>
      <c r="AX165" s="2608">
        <v>46023.61791666667</v>
      </c>
      <c r="AY165" s="2113" t="s">
        <v>62</v>
      </c>
      <c r="AZ165" s="2608">
        <v>46387.63238425926</v>
      </c>
      <c r="BA165" s="2113" t="s">
        <v>62</v>
      </c>
      <c r="BB165" s="1354"/>
      <c r="BC165" s="2259" t="s">
        <v>514</v>
      </c>
      <c r="BD165" s="1648"/>
      <c r="BE165" s="1630"/>
      <c r="BF165" s="1630" t="str">
        <f>IF(T165="","",T165)</f>
        <v>Наружные инженерные сети водопровода, разработка грунта с погрузкой в автотранспорт,трубы полиэтиленовые диаметром:</v>
      </c>
      <c r="BG165" s="1630"/>
      <c r="BH165" s="1630"/>
      <c r="BI165" s="1641">
        <v>0</v>
      </c>
    </row>
    <row customHeight="1" ht="14.25">
      <c r="A166" s="1369"/>
      <c r="B166" s="1369"/>
      <c r="C166" s="1369"/>
      <c r="D166" s="1369"/>
      <c r="E166" s="2265"/>
      <c r="F166" s="2265"/>
      <c r="G166" s="2265"/>
      <c r="H166" s="2265"/>
      <c r="I166" s="2292"/>
      <c r="J166" s="2292"/>
      <c r="K166" s="2262" t="str">
        <f>S162&amp;".1"</f>
        <v>.1</v>
      </c>
      <c r="L166" s="1375"/>
      <c r="M166" s="1782"/>
      <c r="N166" s="1782"/>
      <c r="O166" s="1782"/>
      <c r="P166" s="2380"/>
      <c r="Q166" s="2380"/>
      <c r="R166" s="2353">
        <v>1</v>
      </c>
      <c r="S166" s="2347" t="str">
        <f>$K166</f>
        <v>.1</v>
      </c>
      <c r="T166" s="2366"/>
      <c r="U166" s="306"/>
      <c r="V166" s="757"/>
      <c r="W166" s="1263"/>
      <c r="X166" s="757"/>
      <c r="Y166" s="1263"/>
      <c r="Z166" s="2608"/>
      <c r="AA166" s="2113" t="s">
        <v>62</v>
      </c>
      <c r="AB166" s="2608"/>
      <c r="AC166" s="2113" t="s">
        <v>62</v>
      </c>
      <c r="AD166" s="2191" t="s">
        <v>62</v>
      </c>
      <c r="AE166" s="2332"/>
      <c r="AF166" s="2443">
        <v>1</v>
      </c>
      <c r="AG166" s="2369"/>
      <c r="AH166" s="2113" t="s">
        <v>62</v>
      </c>
      <c r="AI166" s="2332"/>
      <c r="AJ166" s="2443">
        <v>1</v>
      </c>
      <c r="AK166" s="2333" t="s">
        <v>28</v>
      </c>
      <c r="AL166" s="2113" t="s">
        <v>62</v>
      </c>
      <c r="AM166" s="2300"/>
      <c r="AN166" s="2443">
        <v>1</v>
      </c>
      <c r="AO166" s="2683" t="s">
        <v>28</v>
      </c>
      <c r="AP166" s="2364" t="s">
        <v>62</v>
      </c>
      <c r="AQ166" s="689" t="s">
        <v>253</v>
      </c>
      <c r="AR166" s="2443" t="s">
        <v>112</v>
      </c>
      <c r="AS166" s="2582" t="s">
        <v>530</v>
      </c>
      <c r="AT166" s="757"/>
      <c r="AU166" s="1263"/>
      <c r="AV166" s="757"/>
      <c r="AW166" s="1263">
        <v>3612.14</v>
      </c>
      <c r="AX166" s="2608">
        <v>46023.617951388886</v>
      </c>
      <c r="AY166" s="2113" t="s">
        <v>62</v>
      </c>
      <c r="AZ166" s="2608">
        <v>46387.63246527778</v>
      </c>
      <c r="BA166" s="2113" t="s">
        <v>62</v>
      </c>
      <c r="BB166" s="1354"/>
      <c r="BC166" s="2259" t="s">
        <v>514</v>
      </c>
      <c r="BD166" s="1648"/>
      <c r="BE166" s="1630"/>
      <c r="BF166" s="1630" t="str">
        <f>IF(T166="","",T166)</f>
        <v/>
      </c>
      <c r="BG166" s="1630"/>
      <c r="BH166" s="1630"/>
      <c r="BI166" s="1641">
        <v>0</v>
      </c>
    </row>
    <row customHeight="1" ht="14.25">
      <c r="A167" s="1369"/>
      <c r="B167" s="1369"/>
      <c r="C167" s="1369"/>
      <c r="D167" s="1369"/>
      <c r="E167" s="2265"/>
      <c r="F167" s="2265"/>
      <c r="G167" s="2265"/>
      <c r="H167" s="2265"/>
      <c r="I167" s="2292"/>
      <c r="J167" s="2292"/>
      <c r="K167" s="2262" t="str">
        <f>S163&amp;".1"</f>
        <v>.1</v>
      </c>
      <c r="L167" s="1375"/>
      <c r="M167" s="1782"/>
      <c r="N167" s="1782"/>
      <c r="O167" s="1782"/>
      <c r="P167" s="2380"/>
      <c r="Q167" s="2380"/>
      <c r="R167" s="2353">
        <v>1</v>
      </c>
      <c r="S167" s="2347" t="str">
        <f>$K167</f>
        <v>.1</v>
      </c>
      <c r="T167" s="2366"/>
      <c r="U167" s="306"/>
      <c r="V167" s="757"/>
      <c r="W167" s="1263"/>
      <c r="X167" s="757"/>
      <c r="Y167" s="1263"/>
      <c r="Z167" s="2608"/>
      <c r="AA167" s="2113" t="s">
        <v>62</v>
      </c>
      <c r="AB167" s="2608"/>
      <c r="AC167" s="2113" t="s">
        <v>62</v>
      </c>
      <c r="AD167" s="2191" t="s">
        <v>62</v>
      </c>
      <c r="AE167" s="2332"/>
      <c r="AF167" s="2443">
        <v>1</v>
      </c>
      <c r="AG167" s="2369"/>
      <c r="AH167" s="2113" t="s">
        <v>62</v>
      </c>
      <c r="AI167" s="2332"/>
      <c r="AJ167" s="2443">
        <v>1</v>
      </c>
      <c r="AK167" s="2333" t="s">
        <v>28</v>
      </c>
      <c r="AL167" s="2113" t="s">
        <v>62</v>
      </c>
      <c r="AM167" s="2300"/>
      <c r="AN167" s="2443">
        <v>1</v>
      </c>
      <c r="AO167" s="2683" t="s">
        <v>28</v>
      </c>
      <c r="AP167" s="2364" t="s">
        <v>62</v>
      </c>
      <c r="AQ167" s="689" t="s">
        <v>253</v>
      </c>
      <c r="AR167" s="2443" t="s">
        <v>91</v>
      </c>
      <c r="AS167" s="2582" t="s">
        <v>541</v>
      </c>
      <c r="AT167" s="757"/>
      <c r="AU167" s="1263"/>
      <c r="AV167" s="757"/>
      <c r="AW167" s="1263">
        <v>3508.19</v>
      </c>
      <c r="AX167" s="2608">
        <v>46023.61798611111</v>
      </c>
      <c r="AY167" s="2113" t="s">
        <v>62</v>
      </c>
      <c r="AZ167" s="2608">
        <v>46387.63261574074</v>
      </c>
      <c r="BA167" s="2113" t="s">
        <v>62</v>
      </c>
      <c r="BB167" s="1354"/>
      <c r="BC167" s="2259" t="s">
        <v>514</v>
      </c>
      <c r="BD167" s="1648"/>
      <c r="BE167" s="1630"/>
      <c r="BF167" s="1630" t="str">
        <f>IF(T167="","",T167)</f>
        <v/>
      </c>
      <c r="BG167" s="1630"/>
      <c r="BH167" s="1630"/>
      <c r="BI167" s="1641">
        <v>0</v>
      </c>
    </row>
    <row customHeight="1" ht="14.25">
      <c r="A168" s="1369"/>
      <c r="B168" s="1369"/>
      <c r="C168" s="1369"/>
      <c r="D168" s="1369"/>
      <c r="E168" s="2265"/>
      <c r="F168" s="2265"/>
      <c r="G168" s="2265"/>
      <c r="H168" s="2265"/>
      <c r="I168" s="2292"/>
      <c r="J168" s="2292"/>
      <c r="K168" s="2262" t="str">
        <f>S164&amp;".1"</f>
        <v>.1</v>
      </c>
      <c r="L168" s="1375"/>
      <c r="M168" s="1782"/>
      <c r="N168" s="1782"/>
      <c r="O168" s="1782"/>
      <c r="P168" s="2380"/>
      <c r="Q168" s="2380"/>
      <c r="R168" s="2353">
        <v>1</v>
      </c>
      <c r="S168" s="2347" t="str">
        <f>$K168</f>
        <v>.1</v>
      </c>
      <c r="T168" s="2366"/>
      <c r="U168" s="306"/>
      <c r="V168" s="757"/>
      <c r="W168" s="1263"/>
      <c r="X168" s="757"/>
      <c r="Y168" s="1263"/>
      <c r="Z168" s="2608"/>
      <c r="AA168" s="2113" t="s">
        <v>62</v>
      </c>
      <c r="AB168" s="2608"/>
      <c r="AC168" s="2113" t="s">
        <v>62</v>
      </c>
      <c r="AD168" s="2191" t="s">
        <v>62</v>
      </c>
      <c r="AE168" s="2332"/>
      <c r="AF168" s="2443">
        <v>1</v>
      </c>
      <c r="AG168" s="2369"/>
      <c r="AH168" s="2113" t="s">
        <v>62</v>
      </c>
      <c r="AI168" s="2332"/>
      <c r="AJ168" s="2443">
        <v>1</v>
      </c>
      <c r="AK168" s="2333" t="s">
        <v>28</v>
      </c>
      <c r="AL168" s="2113" t="s">
        <v>62</v>
      </c>
      <c r="AM168" s="2300"/>
      <c r="AN168" s="2443">
        <v>1</v>
      </c>
      <c r="AO168" s="2683" t="s">
        <v>28</v>
      </c>
      <c r="AP168" s="2364" t="s">
        <v>62</v>
      </c>
      <c r="AQ168" s="689" t="s">
        <v>253</v>
      </c>
      <c r="AR168" s="2443" t="s">
        <v>92</v>
      </c>
      <c r="AS168" s="2582" t="s">
        <v>541</v>
      </c>
      <c r="AT168" s="757"/>
      <c r="AU168" s="1263"/>
      <c r="AV168" s="757"/>
      <c r="AW168" s="1263">
        <v>5126.94</v>
      </c>
      <c r="AX168" s="2608">
        <v>46023.61803240741</v>
      </c>
      <c r="AY168" s="2113" t="s">
        <v>62</v>
      </c>
      <c r="AZ168" s="2608">
        <v>46387.63270833333</v>
      </c>
      <c r="BA168" s="2113" t="s">
        <v>62</v>
      </c>
      <c r="BB168" s="1354"/>
      <c r="BC168" s="2259" t="s">
        <v>514</v>
      </c>
      <c r="BD168" s="1648"/>
      <c r="BE168" s="1630"/>
      <c r="BF168" s="1630" t="str">
        <f>IF(T168="","",T168)</f>
        <v/>
      </c>
      <c r="BG168" s="1630"/>
      <c r="BH168" s="1630"/>
      <c r="BI168" s="1641">
        <v>0</v>
      </c>
    </row>
    <row customHeight="1" ht="14.25">
      <c r="A169" s="1369"/>
      <c r="B169" s="1369"/>
      <c r="C169" s="1369"/>
      <c r="D169" s="1369"/>
      <c r="E169" s="2265"/>
      <c r="F169" s="2265"/>
      <c r="G169" s="2265"/>
      <c r="H169" s="2265"/>
      <c r="I169" s="2292"/>
      <c r="J169" s="2292"/>
      <c r="K169" s="2262" t="str">
        <f>S65&amp;".3"</f>
        <v>2.1.1.3</v>
      </c>
      <c r="L169" s="1375"/>
      <c r="M169" s="1782"/>
      <c r="N169" s="1782"/>
      <c r="O169" s="1782"/>
      <c r="P169" s="2380"/>
      <c r="Q169" s="2380"/>
      <c r="R169" s="2353"/>
      <c r="S169" s="2348"/>
      <c r="T169" s="2367"/>
      <c r="U169" s="306"/>
      <c r="V169" s="3885"/>
      <c r="W169" s="3886"/>
      <c r="X169" s="3887"/>
      <c r="Y169" s="3888"/>
      <c r="Z169" s="3889"/>
      <c r="AA169" s="3890"/>
      <c r="AB169" s="3891"/>
      <c r="AC169" s="3892"/>
      <c r="AD169" s="2192"/>
      <c r="AE169" s="2332"/>
      <c r="AF169" s="2443"/>
      <c r="AG169" s="2682" t="s">
        <v>28</v>
      </c>
      <c r="AH169" s="2113"/>
      <c r="AI169" s="2332"/>
      <c r="AJ169" s="2443"/>
      <c r="AK169" s="2333"/>
      <c r="AL169" s="2113"/>
      <c r="AM169" s="2301"/>
      <c r="AN169" s="2443"/>
      <c r="AO169" s="2683" t="s">
        <v>28</v>
      </c>
      <c r="AP169" s="2365"/>
      <c r="AQ169" s="3893"/>
      <c r="AR169" s="3894"/>
      <c r="AS169" s="3895" t="s">
        <v>515</v>
      </c>
      <c r="AT169" s="3896"/>
      <c r="AU169" s="3897"/>
      <c r="AV169" s="3898"/>
      <c r="AW169" s="3899"/>
      <c r="AX169" s="3900"/>
      <c r="AY169" s="3901"/>
      <c r="AZ169" s="3902"/>
      <c r="BA169" s="3903"/>
      <c r="BB169" s="3904"/>
      <c r="BC169" s="2260"/>
      <c r="BD169" s="1648"/>
      <c r="BE169" s="1630"/>
      <c r="BF169" s="1630"/>
      <c r="BG169" s="1630"/>
      <c r="BH169" s="1630"/>
      <c r="BI169" s="1641">
        <v>0</v>
      </c>
    </row>
    <row customHeight="1" ht="14.25">
      <c r="A170" s="1369"/>
      <c r="B170" s="1369"/>
      <c r="C170" s="1369"/>
      <c r="D170" s="1369"/>
      <c r="E170" s="2265"/>
      <c r="F170" s="2265"/>
      <c r="G170" s="2265"/>
      <c r="H170" s="2265"/>
      <c r="I170" s="2292"/>
      <c r="J170" s="2292"/>
      <c r="K170" s="2262" t="str">
        <f>S65&amp;".3"</f>
        <v>2.1.1.3</v>
      </c>
      <c r="L170" s="1375"/>
      <c r="M170" s="1782"/>
      <c r="N170" s="1782"/>
      <c r="O170" s="1782"/>
      <c r="P170" s="2380"/>
      <c r="Q170" s="2380"/>
      <c r="R170" s="2353"/>
      <c r="S170" s="2348"/>
      <c r="T170" s="2367"/>
      <c r="U170" s="306"/>
      <c r="V170" s="3905"/>
      <c r="W170" s="3906"/>
      <c r="X170" s="3907"/>
      <c r="Y170" s="3908"/>
      <c r="Z170" s="3909"/>
      <c r="AA170" s="3910"/>
      <c r="AB170" s="3911"/>
      <c r="AC170" s="3912"/>
      <c r="AD170" s="2192"/>
      <c r="AE170" s="2332"/>
      <c r="AF170" s="2443"/>
      <c r="AG170" s="2682" t="s">
        <v>28</v>
      </c>
      <c r="AH170" s="2113"/>
      <c r="AI170" s="2332"/>
      <c r="AJ170" s="2443"/>
      <c r="AK170" s="2333"/>
      <c r="AL170" s="2113"/>
      <c r="AM170" s="3913"/>
      <c r="AN170" s="3914"/>
      <c r="AO170" s="3915" t="s">
        <v>516</v>
      </c>
      <c r="AP170" s="3916"/>
      <c r="AQ170" s="3917"/>
      <c r="AR170" s="3918"/>
      <c r="AS170" s="3919"/>
      <c r="AT170" s="3920"/>
      <c r="AU170" s="3921"/>
      <c r="AV170" s="3922"/>
      <c r="AW170" s="3923"/>
      <c r="AX170" s="3924"/>
      <c r="AY170" s="3925"/>
      <c r="AZ170" s="3926"/>
      <c r="BA170" s="3927"/>
      <c r="BB170" s="3928"/>
      <c r="BC170" s="2260"/>
      <c r="BD170" s="1648"/>
      <c r="BE170" s="1630"/>
      <c r="BF170" s="1630"/>
      <c r="BG170" s="1630"/>
      <c r="BH170" s="1630"/>
      <c r="BI170" s="1641">
        <v>0</v>
      </c>
    </row>
    <row customHeight="1" ht="14.25">
      <c r="A171" s="1369"/>
      <c r="B171" s="1369"/>
      <c r="C171" s="1369"/>
      <c r="D171" s="1369"/>
      <c r="E171" s="2265"/>
      <c r="F171" s="2265"/>
      <c r="G171" s="2265"/>
      <c r="H171" s="2265"/>
      <c r="I171" s="2292"/>
      <c r="J171" s="2292"/>
      <c r="K171" s="2262" t="str">
        <f>S165&amp;".1"</f>
        <v>2.1.1.4.1</v>
      </c>
      <c r="L171" s="1375"/>
      <c r="M171" s="1782"/>
      <c r="N171" s="1782"/>
      <c r="O171" s="1782"/>
      <c r="P171" s="2380"/>
      <c r="Q171" s="2380"/>
      <c r="R171" s="2353">
        <v>1</v>
      </c>
      <c r="S171" s="2347" t="str">
        <f>$K171</f>
        <v>2.1.1.4.1</v>
      </c>
      <c r="T171" s="2366"/>
      <c r="U171" s="306"/>
      <c r="V171" s="757"/>
      <c r="W171" s="1263"/>
      <c r="X171" s="757"/>
      <c r="Y171" s="1263"/>
      <c r="Z171" s="2608"/>
      <c r="AA171" s="2113" t="s">
        <v>62</v>
      </c>
      <c r="AB171" s="2608"/>
      <c r="AC171" s="2113" t="s">
        <v>62</v>
      </c>
      <c r="AD171" s="2191" t="s">
        <v>62</v>
      </c>
      <c r="AE171" s="2332"/>
      <c r="AF171" s="2443">
        <v>1</v>
      </c>
      <c r="AG171" s="2369"/>
      <c r="AH171" s="2113" t="s">
        <v>62</v>
      </c>
      <c r="AI171" s="689" t="s">
        <v>253</v>
      </c>
      <c r="AJ171" s="2443" t="s">
        <v>112</v>
      </c>
      <c r="AK171" s="2333" t="s">
        <v>534</v>
      </c>
      <c r="AL171" s="2113" t="s">
        <v>19</v>
      </c>
      <c r="AM171" s="2300"/>
      <c r="AN171" s="2443">
        <v>1</v>
      </c>
      <c r="AO171" s="2683" t="s">
        <v>28</v>
      </c>
      <c r="AP171" s="2364" t="s">
        <v>62</v>
      </c>
      <c r="AQ171" s="317"/>
      <c r="AR171" s="2443">
        <v>1</v>
      </c>
      <c r="AS171" s="2582" t="s">
        <v>541</v>
      </c>
      <c r="AT171" s="757"/>
      <c r="AU171" s="1263"/>
      <c r="AV171" s="757"/>
      <c r="AW171" s="1263">
        <v>10330.65</v>
      </c>
      <c r="AX171" s="2608">
        <v>46023.61806712963</v>
      </c>
      <c r="AY171" s="2113" t="s">
        <v>62</v>
      </c>
      <c r="AZ171" s="2608">
        <v>46387.6328587963</v>
      </c>
      <c r="BA171" s="2113" t="s">
        <v>62</v>
      </c>
      <c r="BB171" s="1354"/>
      <c r="BC171" s="2259" t="s">
        <v>514</v>
      </c>
      <c r="BD171" s="1648"/>
      <c r="BE171" s="1630"/>
      <c r="BF171" s="1630" t="str">
        <f>IF(T171="","",T171)</f>
        <v/>
      </c>
      <c r="BG171" s="1630"/>
      <c r="BH171" s="1630"/>
      <c r="BI171" s="1641">
        <v>0</v>
      </c>
    </row>
    <row customHeight="1" ht="14.25">
      <c r="A172" s="1369"/>
      <c r="B172" s="1369"/>
      <c r="C172" s="1369"/>
      <c r="D172" s="1369"/>
      <c r="E172" s="2265"/>
      <c r="F172" s="2265"/>
      <c r="G172" s="2265"/>
      <c r="H172" s="2265"/>
      <c r="I172" s="2292"/>
      <c r="J172" s="2292"/>
      <c r="K172" s="2262" t="str">
        <f>S168&amp;".1"</f>
        <v>.1.1</v>
      </c>
      <c r="L172" s="1375"/>
      <c r="M172" s="1782"/>
      <c r="N172" s="1782"/>
      <c r="O172" s="1782"/>
      <c r="P172" s="2380"/>
      <c r="Q172" s="2380"/>
      <c r="R172" s="2353">
        <v>1</v>
      </c>
      <c r="S172" s="2347" t="str">
        <f>$K172</f>
        <v>.1.1</v>
      </c>
      <c r="T172" s="2366"/>
      <c r="U172" s="306"/>
      <c r="V172" s="757"/>
      <c r="W172" s="1263"/>
      <c r="X172" s="757"/>
      <c r="Y172" s="1263"/>
      <c r="Z172" s="2608"/>
      <c r="AA172" s="2113" t="s">
        <v>62</v>
      </c>
      <c r="AB172" s="2608"/>
      <c r="AC172" s="2113" t="s">
        <v>62</v>
      </c>
      <c r="AD172" s="2191" t="s">
        <v>62</v>
      </c>
      <c r="AE172" s="2332"/>
      <c r="AF172" s="2443">
        <v>1</v>
      </c>
      <c r="AG172" s="2369"/>
      <c r="AH172" s="2113" t="s">
        <v>62</v>
      </c>
      <c r="AI172" s="2332"/>
      <c r="AJ172" s="2443">
        <v>1</v>
      </c>
      <c r="AK172" s="2333" t="s">
        <v>28</v>
      </c>
      <c r="AL172" s="2113" t="s">
        <v>62</v>
      </c>
      <c r="AM172" s="2300"/>
      <c r="AN172" s="2443">
        <v>1</v>
      </c>
      <c r="AO172" s="2683" t="s">
        <v>28</v>
      </c>
      <c r="AP172" s="2364" t="s">
        <v>62</v>
      </c>
      <c r="AQ172" s="689" t="s">
        <v>253</v>
      </c>
      <c r="AR172" s="2443" t="s">
        <v>112</v>
      </c>
      <c r="AS172" s="2582" t="s">
        <v>541</v>
      </c>
      <c r="AT172" s="757"/>
      <c r="AU172" s="1263"/>
      <c r="AV172" s="757"/>
      <c r="AW172" s="1263">
        <v>13253.56</v>
      </c>
      <c r="AX172" s="2608">
        <v>46023.618113425924</v>
      </c>
      <c r="AY172" s="2113" t="s">
        <v>62</v>
      </c>
      <c r="AZ172" s="2608">
        <v>46387.63297453704</v>
      </c>
      <c r="BA172" s="2113" t="s">
        <v>62</v>
      </c>
      <c r="BB172" s="1354"/>
      <c r="BC172" s="2259" t="s">
        <v>514</v>
      </c>
      <c r="BD172" s="1648"/>
      <c r="BE172" s="1630"/>
      <c r="BF172" s="1630" t="str">
        <f>IF(T172="","",T172)</f>
        <v/>
      </c>
      <c r="BG172" s="1630"/>
      <c r="BH172" s="1630"/>
      <c r="BI172" s="1641">
        <v>0</v>
      </c>
    </row>
    <row customHeight="1" ht="14.25">
      <c r="A173" s="1369"/>
      <c r="B173" s="1369"/>
      <c r="C173" s="1369"/>
      <c r="D173" s="1369"/>
      <c r="E173" s="2265"/>
      <c r="F173" s="2265"/>
      <c r="G173" s="2265"/>
      <c r="H173" s="2265"/>
      <c r="I173" s="2292"/>
      <c r="J173" s="2292"/>
      <c r="K173" s="2262"/>
      <c r="L173" s="1375"/>
      <c r="M173" s="1782"/>
      <c r="N173" s="1782"/>
      <c r="O173" s="1782"/>
      <c r="P173" s="2380"/>
      <c r="Q173" s="2380"/>
      <c r="R173" s="2353"/>
      <c r="S173" s="2348"/>
      <c r="T173" s="2367"/>
      <c r="U173" s="306"/>
      <c r="V173" s="3929"/>
      <c r="W173" s="3930"/>
      <c r="X173" s="3931"/>
      <c r="Y173" s="3932"/>
      <c r="Z173" s="3933"/>
      <c r="AA173" s="3934"/>
      <c r="AB173" s="3935"/>
      <c r="AC173" s="3936"/>
      <c r="AD173" s="2192"/>
      <c r="AE173" s="2332"/>
      <c r="AF173" s="2443"/>
      <c r="AG173" s="2369"/>
      <c r="AH173" s="2113"/>
      <c r="AI173" s="2332"/>
      <c r="AJ173" s="2443">
        <v>1</v>
      </c>
      <c r="AK173" s="2333"/>
      <c r="AL173" s="2113"/>
      <c r="AM173" s="2301"/>
      <c r="AN173" s="2443"/>
      <c r="AO173" s="2683" t="s">
        <v>28</v>
      </c>
      <c r="AP173" s="2365"/>
      <c r="AQ173" s="3937"/>
      <c r="AR173" s="3938"/>
      <c r="AS173" s="3939" t="s">
        <v>515</v>
      </c>
      <c r="AT173" s="3940"/>
      <c r="AU173" s="3941"/>
      <c r="AV173" s="3942"/>
      <c r="AW173" s="3943"/>
      <c r="AX173" s="3944"/>
      <c r="AY173" s="3945"/>
      <c r="AZ173" s="3946"/>
      <c r="BA173" s="3947"/>
      <c r="BB173" s="3948"/>
      <c r="BC173" s="2260"/>
      <c r="BD173" s="1648"/>
      <c r="BE173" s="1630"/>
      <c r="BF173" s="1630"/>
      <c r="BG173" s="1630"/>
      <c r="BH173" s="1630"/>
      <c r="BI173" s="1641">
        <v>0</v>
      </c>
    </row>
    <row customHeight="1" ht="14.25">
      <c r="A174" s="1369"/>
      <c r="B174" s="1369"/>
      <c r="C174" s="1369"/>
      <c r="D174" s="1369"/>
      <c r="E174" s="2265"/>
      <c r="F174" s="2265"/>
      <c r="G174" s="2265"/>
      <c r="H174" s="2265"/>
      <c r="I174" s="2292"/>
      <c r="J174" s="2292"/>
      <c r="K174" s="2262"/>
      <c r="L174" s="1375"/>
      <c r="M174" s="1782"/>
      <c r="N174" s="1782"/>
      <c r="O174" s="1782"/>
      <c r="P174" s="2380"/>
      <c r="Q174" s="2380"/>
      <c r="R174" s="2353"/>
      <c r="S174" s="2348"/>
      <c r="T174" s="2367"/>
      <c r="U174" s="306"/>
      <c r="V174" s="3949"/>
      <c r="W174" s="3950"/>
      <c r="X174" s="3951"/>
      <c r="Y174" s="3952"/>
      <c r="Z174" s="3953"/>
      <c r="AA174" s="3954"/>
      <c r="AB174" s="3955"/>
      <c r="AC174" s="3956"/>
      <c r="AD174" s="2192"/>
      <c r="AE174" s="2332"/>
      <c r="AF174" s="2443"/>
      <c r="AG174" s="2369"/>
      <c r="AH174" s="2113"/>
      <c r="AI174" s="2332"/>
      <c r="AJ174" s="2443">
        <v>1</v>
      </c>
      <c r="AK174" s="2333"/>
      <c r="AL174" s="2113"/>
      <c r="AM174" s="3957"/>
      <c r="AN174" s="3958"/>
      <c r="AO174" s="3959" t="s">
        <v>516</v>
      </c>
      <c r="AP174" s="3960"/>
      <c r="AQ174" s="3961"/>
      <c r="AR174" s="3962"/>
      <c r="AS174" s="3963"/>
      <c r="AT174" s="3964"/>
      <c r="AU174" s="3965"/>
      <c r="AV174" s="3966"/>
      <c r="AW174" s="3967"/>
      <c r="AX174" s="3968"/>
      <c r="AY174" s="3969"/>
      <c r="AZ174" s="3970"/>
      <c r="BA174" s="3971"/>
      <c r="BB174" s="3972"/>
      <c r="BC174" s="2260"/>
      <c r="BD174" s="1648"/>
      <c r="BE174" s="1630"/>
      <c r="BF174" s="1630"/>
      <c r="BG174" s="1630"/>
      <c r="BH174" s="1630"/>
      <c r="BI174" s="1641">
        <v>0</v>
      </c>
    </row>
    <row customHeight="1" ht="14.25">
      <c r="A175" s="1369"/>
      <c r="B175" s="1369"/>
      <c r="C175" s="1369"/>
      <c r="D175" s="1369"/>
      <c r="E175" s="2265"/>
      <c r="F175" s="2265"/>
      <c r="G175" s="2265"/>
      <c r="H175" s="2265"/>
      <c r="I175" s="2292"/>
      <c r="J175" s="2292"/>
      <c r="K175" s="2262" t="str">
        <f>S171&amp;".1"</f>
        <v>2.1.1.4.1.1</v>
      </c>
      <c r="L175" s="1375"/>
      <c r="M175" s="1782"/>
      <c r="N175" s="1782"/>
      <c r="O175" s="1782"/>
      <c r="P175" s="2380"/>
      <c r="Q175" s="2380"/>
      <c r="R175" s="2353">
        <v>1</v>
      </c>
      <c r="S175" s="2347" t="str">
        <f>$K175</f>
        <v>2.1.1.4.1.1</v>
      </c>
      <c r="T175" s="2366"/>
      <c r="U175" s="306"/>
      <c r="V175" s="757"/>
      <c r="W175" s="1263"/>
      <c r="X175" s="757"/>
      <c r="Y175" s="1263"/>
      <c r="Z175" s="2608"/>
      <c r="AA175" s="2113" t="s">
        <v>62</v>
      </c>
      <c r="AB175" s="2608"/>
      <c r="AC175" s="2113" t="s">
        <v>62</v>
      </c>
      <c r="AD175" s="2191" t="s">
        <v>62</v>
      </c>
      <c r="AE175" s="2332"/>
      <c r="AF175" s="2443">
        <v>1</v>
      </c>
      <c r="AG175" s="2369"/>
      <c r="AH175" s="2113" t="s">
        <v>62</v>
      </c>
      <c r="AI175" s="689" t="s">
        <v>253</v>
      </c>
      <c r="AJ175" s="2443" t="s">
        <v>91</v>
      </c>
      <c r="AK175" s="2333" t="s">
        <v>535</v>
      </c>
      <c r="AL175" s="2113" t="s">
        <v>19</v>
      </c>
      <c r="AM175" s="2300"/>
      <c r="AN175" s="2443">
        <v>1</v>
      </c>
      <c r="AO175" s="2683" t="s">
        <v>28</v>
      </c>
      <c r="AP175" s="2364" t="s">
        <v>62</v>
      </c>
      <c r="AQ175" s="317"/>
      <c r="AR175" s="2443">
        <v>1</v>
      </c>
      <c r="AS175" s="2582" t="s">
        <v>541</v>
      </c>
      <c r="AT175" s="757"/>
      <c r="AU175" s="1263"/>
      <c r="AV175" s="757"/>
      <c r="AW175" s="1263">
        <v>10354.99</v>
      </c>
      <c r="AX175" s="2608">
        <v>46023.618159722224</v>
      </c>
      <c r="AY175" s="2113" t="s">
        <v>62</v>
      </c>
      <c r="AZ175" s="2608">
        <v>46387.63309027778</v>
      </c>
      <c r="BA175" s="2113" t="s">
        <v>62</v>
      </c>
      <c r="BB175" s="1354"/>
      <c r="BC175" s="2259" t="s">
        <v>514</v>
      </c>
      <c r="BD175" s="1648"/>
      <c r="BE175" s="1630"/>
      <c r="BF175" s="1630" t="str">
        <f>IF(T175="","",T175)</f>
        <v/>
      </c>
      <c r="BG175" s="1630"/>
      <c r="BH175" s="1630"/>
      <c r="BI175" s="1641">
        <v>0</v>
      </c>
    </row>
    <row customHeight="1" ht="14.25">
      <c r="A176" s="1369"/>
      <c r="B176" s="1369"/>
      <c r="C176" s="1369"/>
      <c r="D176" s="1369"/>
      <c r="E176" s="2265"/>
      <c r="F176" s="2265"/>
      <c r="G176" s="2265"/>
      <c r="H176" s="2265"/>
      <c r="I176" s="2292"/>
      <c r="J176" s="2292"/>
      <c r="K176" s="2262" t="str">
        <f>S172&amp;".1"</f>
        <v>.1.1.1</v>
      </c>
      <c r="L176" s="1375"/>
      <c r="M176" s="1782"/>
      <c r="N176" s="1782"/>
      <c r="O176" s="1782"/>
      <c r="P176" s="2380"/>
      <c r="Q176" s="2380"/>
      <c r="R176" s="2353">
        <v>1</v>
      </c>
      <c r="S176" s="2347" t="str">
        <f>$K176</f>
        <v>.1.1.1</v>
      </c>
      <c r="T176" s="2366"/>
      <c r="U176" s="306"/>
      <c r="V176" s="757"/>
      <c r="W176" s="1263"/>
      <c r="X176" s="757"/>
      <c r="Y176" s="1263"/>
      <c r="Z176" s="2608"/>
      <c r="AA176" s="2113" t="s">
        <v>62</v>
      </c>
      <c r="AB176" s="2608"/>
      <c r="AC176" s="2113" t="s">
        <v>62</v>
      </c>
      <c r="AD176" s="2191" t="s">
        <v>62</v>
      </c>
      <c r="AE176" s="2332"/>
      <c r="AF176" s="2443">
        <v>1</v>
      </c>
      <c r="AG176" s="2369"/>
      <c r="AH176" s="2113" t="s">
        <v>62</v>
      </c>
      <c r="AI176" s="2332"/>
      <c r="AJ176" s="2443">
        <v>1</v>
      </c>
      <c r="AK176" s="2333" t="s">
        <v>28</v>
      </c>
      <c r="AL176" s="2113" t="s">
        <v>62</v>
      </c>
      <c r="AM176" s="2300"/>
      <c r="AN176" s="2443">
        <v>1</v>
      </c>
      <c r="AO176" s="2683" t="s">
        <v>28</v>
      </c>
      <c r="AP176" s="2364" t="s">
        <v>62</v>
      </c>
      <c r="AQ176" s="689" t="s">
        <v>253</v>
      </c>
      <c r="AR176" s="2443" t="s">
        <v>112</v>
      </c>
      <c r="AS176" s="2582" t="s">
        <v>541</v>
      </c>
      <c r="AT176" s="757"/>
      <c r="AU176" s="1263"/>
      <c r="AV176" s="757"/>
      <c r="AW176" s="1263">
        <v>14125.83</v>
      </c>
      <c r="AX176" s="2608">
        <v>46023.61819444445</v>
      </c>
      <c r="AY176" s="2113" t="s">
        <v>62</v>
      </c>
      <c r="AZ176" s="2608">
        <v>46387.633206018516</v>
      </c>
      <c r="BA176" s="2113" t="s">
        <v>62</v>
      </c>
      <c r="BB176" s="1354"/>
      <c r="BC176" s="2259" t="s">
        <v>514</v>
      </c>
      <c r="BD176" s="1648"/>
      <c r="BE176" s="1630"/>
      <c r="BF176" s="1630" t="str">
        <f>IF(T176="","",T176)</f>
        <v/>
      </c>
      <c r="BG176" s="1630"/>
      <c r="BH176" s="1630"/>
      <c r="BI176" s="1641">
        <v>0</v>
      </c>
    </row>
    <row customHeight="1" ht="14.25">
      <c r="A177" s="1369"/>
      <c r="B177" s="1369"/>
      <c r="C177" s="1369"/>
      <c r="D177" s="1369"/>
      <c r="E177" s="2265"/>
      <c r="F177" s="2265"/>
      <c r="G177" s="2265"/>
      <c r="H177" s="2265"/>
      <c r="I177" s="2292"/>
      <c r="J177" s="2292"/>
      <c r="K177" s="2262" t="str">
        <f>S173&amp;".1"</f>
        <v>.1</v>
      </c>
      <c r="L177" s="1375"/>
      <c r="M177" s="1782"/>
      <c r="N177" s="1782"/>
      <c r="O177" s="1782"/>
      <c r="P177" s="2380"/>
      <c r="Q177" s="2380"/>
      <c r="R177" s="2353">
        <v>1</v>
      </c>
      <c r="S177" s="2347" t="str">
        <f>$K177</f>
        <v>.1</v>
      </c>
      <c r="T177" s="2366"/>
      <c r="U177" s="306"/>
      <c r="V177" s="757"/>
      <c r="W177" s="1263"/>
      <c r="X177" s="757"/>
      <c r="Y177" s="1263"/>
      <c r="Z177" s="2608"/>
      <c r="AA177" s="2113" t="s">
        <v>62</v>
      </c>
      <c r="AB177" s="2608"/>
      <c r="AC177" s="2113" t="s">
        <v>62</v>
      </c>
      <c r="AD177" s="2191" t="s">
        <v>62</v>
      </c>
      <c r="AE177" s="2332"/>
      <c r="AF177" s="2443">
        <v>1</v>
      </c>
      <c r="AG177" s="2369"/>
      <c r="AH177" s="2113" t="s">
        <v>62</v>
      </c>
      <c r="AI177" s="2332"/>
      <c r="AJ177" s="2443">
        <v>1</v>
      </c>
      <c r="AK177" s="2333" t="s">
        <v>28</v>
      </c>
      <c r="AL177" s="2113" t="s">
        <v>62</v>
      </c>
      <c r="AM177" s="2300"/>
      <c r="AN177" s="2443">
        <v>1</v>
      </c>
      <c r="AO177" s="2683" t="s">
        <v>28</v>
      </c>
      <c r="AP177" s="2364" t="s">
        <v>62</v>
      </c>
      <c r="AQ177" s="689" t="s">
        <v>253</v>
      </c>
      <c r="AR177" s="2443" t="s">
        <v>91</v>
      </c>
      <c r="AS177" s="2582" t="s">
        <v>541</v>
      </c>
      <c r="AT177" s="757"/>
      <c r="AU177" s="1263"/>
      <c r="AV177" s="757"/>
      <c r="AW177" s="1263">
        <v>11158.52</v>
      </c>
      <c r="AX177" s="2608">
        <v>46023.61822916667</v>
      </c>
      <c r="AY177" s="2113" t="s">
        <v>62</v>
      </c>
      <c r="AZ177" s="2608">
        <v>46387.63329861111</v>
      </c>
      <c r="BA177" s="2113" t="s">
        <v>62</v>
      </c>
      <c r="BB177" s="1354"/>
      <c r="BC177" s="2259" t="s">
        <v>514</v>
      </c>
      <c r="BD177" s="1648"/>
      <c r="BE177" s="1630"/>
      <c r="BF177" s="1630" t="str">
        <f>IF(T177="","",T177)</f>
        <v/>
      </c>
      <c r="BG177" s="1630"/>
      <c r="BH177" s="1630"/>
      <c r="BI177" s="1641">
        <v>0</v>
      </c>
    </row>
    <row customHeight="1" ht="14.25">
      <c r="A178" s="1369"/>
      <c r="B178" s="1369"/>
      <c r="C178" s="1369"/>
      <c r="D178" s="1369"/>
      <c r="E178" s="2265"/>
      <c r="F178" s="2265"/>
      <c r="G178" s="2265"/>
      <c r="H178" s="2265"/>
      <c r="I178" s="2292"/>
      <c r="J178" s="2292"/>
      <c r="K178" s="2262" t="str">
        <f>S174&amp;".1"</f>
        <v>.1</v>
      </c>
      <c r="L178" s="1375"/>
      <c r="M178" s="1782"/>
      <c r="N178" s="1782"/>
      <c r="O178" s="1782"/>
      <c r="P178" s="2380"/>
      <c r="Q178" s="2380"/>
      <c r="R178" s="2353">
        <v>1</v>
      </c>
      <c r="S178" s="2347" t="str">
        <f>$K178</f>
        <v>.1</v>
      </c>
      <c r="T178" s="2366"/>
      <c r="U178" s="306"/>
      <c r="V178" s="757"/>
      <c r="W178" s="1263"/>
      <c r="X178" s="757"/>
      <c r="Y178" s="1263"/>
      <c r="Z178" s="2608"/>
      <c r="AA178" s="2113" t="s">
        <v>62</v>
      </c>
      <c r="AB178" s="2608"/>
      <c r="AC178" s="2113" t="s">
        <v>62</v>
      </c>
      <c r="AD178" s="2191" t="s">
        <v>62</v>
      </c>
      <c r="AE178" s="2332"/>
      <c r="AF178" s="2443">
        <v>1</v>
      </c>
      <c r="AG178" s="2369"/>
      <c r="AH178" s="2113" t="s">
        <v>62</v>
      </c>
      <c r="AI178" s="2332"/>
      <c r="AJ178" s="2443">
        <v>1</v>
      </c>
      <c r="AK178" s="2333" t="s">
        <v>28</v>
      </c>
      <c r="AL178" s="2113" t="s">
        <v>62</v>
      </c>
      <c r="AM178" s="2300"/>
      <c r="AN178" s="2443">
        <v>1</v>
      </c>
      <c r="AO178" s="2683" t="s">
        <v>28</v>
      </c>
      <c r="AP178" s="2364" t="s">
        <v>62</v>
      </c>
      <c r="AQ178" s="689" t="s">
        <v>253</v>
      </c>
      <c r="AR178" s="2443" t="s">
        <v>92</v>
      </c>
      <c r="AS178" s="2582" t="s">
        <v>541</v>
      </c>
      <c r="AT178" s="757"/>
      <c r="AU178" s="1263"/>
      <c r="AV178" s="757"/>
      <c r="AW178" s="1263">
        <v>15403.16</v>
      </c>
      <c r="AX178" s="2608">
        <v>46023.618263888886</v>
      </c>
      <c r="AY178" s="2113" t="s">
        <v>62</v>
      </c>
      <c r="AZ178" s="2608">
        <v>46387.63340277778</v>
      </c>
      <c r="BA178" s="2113" t="s">
        <v>62</v>
      </c>
      <c r="BB178" s="1354"/>
      <c r="BC178" s="2259" t="s">
        <v>514</v>
      </c>
      <c r="BD178" s="1648"/>
      <c r="BE178" s="1630"/>
      <c r="BF178" s="1630" t="str">
        <f>IF(T178="","",T178)</f>
        <v/>
      </c>
      <c r="BG178" s="1630"/>
      <c r="BH178" s="1630"/>
      <c r="BI178" s="1641">
        <v>0</v>
      </c>
    </row>
    <row customHeight="1" ht="14.25">
      <c r="A179" s="1369"/>
      <c r="B179" s="1369"/>
      <c r="C179" s="1369"/>
      <c r="D179" s="1369"/>
      <c r="E179" s="2265"/>
      <c r="F179" s="2265"/>
      <c r="G179" s="2265"/>
      <c r="H179" s="2265"/>
      <c r="I179" s="2292"/>
      <c r="J179" s="2292"/>
      <c r="K179" s="2262"/>
      <c r="L179" s="1375"/>
      <c r="M179" s="1782"/>
      <c r="N179" s="1782"/>
      <c r="O179" s="1782"/>
      <c r="P179" s="2380"/>
      <c r="Q179" s="2380"/>
      <c r="R179" s="2353"/>
      <c r="S179" s="2348"/>
      <c r="T179" s="2367"/>
      <c r="U179" s="306"/>
      <c r="V179" s="3973"/>
      <c r="W179" s="3974"/>
      <c r="X179" s="3975"/>
      <c r="Y179" s="3976"/>
      <c r="Z179" s="3977"/>
      <c r="AA179" s="3978"/>
      <c r="AB179" s="3979"/>
      <c r="AC179" s="3980"/>
      <c r="AD179" s="2192"/>
      <c r="AE179" s="2332"/>
      <c r="AF179" s="2443"/>
      <c r="AG179" s="2369"/>
      <c r="AH179" s="2113"/>
      <c r="AI179" s="2332"/>
      <c r="AJ179" s="2443" t="s">
        <v>112</v>
      </c>
      <c r="AK179" s="2333"/>
      <c r="AL179" s="2113"/>
      <c r="AM179" s="2301"/>
      <c r="AN179" s="2443"/>
      <c r="AO179" s="2683" t="s">
        <v>28</v>
      </c>
      <c r="AP179" s="2365"/>
      <c r="AQ179" s="3981"/>
      <c r="AR179" s="3982"/>
      <c r="AS179" s="3983" t="s">
        <v>515</v>
      </c>
      <c r="AT179" s="3984"/>
      <c r="AU179" s="3985"/>
      <c r="AV179" s="3986"/>
      <c r="AW179" s="3987"/>
      <c r="AX179" s="3988"/>
      <c r="AY179" s="3989"/>
      <c r="AZ179" s="3990"/>
      <c r="BA179" s="3991"/>
      <c r="BB179" s="3992"/>
      <c r="BC179" s="2260"/>
      <c r="BD179" s="1648"/>
      <c r="BE179" s="1630"/>
      <c r="BF179" s="1630"/>
      <c r="BG179" s="1630"/>
      <c r="BH179" s="1630"/>
      <c r="BI179" s="1641">
        <v>0</v>
      </c>
    </row>
    <row customHeight="1" ht="14.25">
      <c r="A180" s="1369"/>
      <c r="B180" s="1369"/>
      <c r="C180" s="1369"/>
      <c r="D180" s="1369"/>
      <c r="E180" s="2265"/>
      <c r="F180" s="2265"/>
      <c r="G180" s="2265"/>
      <c r="H180" s="2265"/>
      <c r="I180" s="2292"/>
      <c r="J180" s="2292"/>
      <c r="K180" s="2262"/>
      <c r="L180" s="1375"/>
      <c r="M180" s="1782"/>
      <c r="N180" s="1782"/>
      <c r="O180" s="1782"/>
      <c r="P180" s="2380"/>
      <c r="Q180" s="2380"/>
      <c r="R180" s="2353"/>
      <c r="S180" s="2348"/>
      <c r="T180" s="2367"/>
      <c r="U180" s="306"/>
      <c r="V180" s="3993"/>
      <c r="W180" s="3994"/>
      <c r="X180" s="3995"/>
      <c r="Y180" s="3996"/>
      <c r="Z180" s="3997"/>
      <c r="AA180" s="3998"/>
      <c r="AB180" s="3999"/>
      <c r="AC180" s="4000"/>
      <c r="AD180" s="2192"/>
      <c r="AE180" s="2332"/>
      <c r="AF180" s="2443"/>
      <c r="AG180" s="2369"/>
      <c r="AH180" s="2113"/>
      <c r="AI180" s="2332"/>
      <c r="AJ180" s="2443" t="s">
        <v>112</v>
      </c>
      <c r="AK180" s="2333"/>
      <c r="AL180" s="2113"/>
      <c r="AM180" s="4001"/>
      <c r="AN180" s="4002"/>
      <c r="AO180" s="4003" t="s">
        <v>516</v>
      </c>
      <c r="AP180" s="4004"/>
      <c r="AQ180" s="4005"/>
      <c r="AR180" s="4006"/>
      <c r="AS180" s="4007"/>
      <c r="AT180" s="4008"/>
      <c r="AU180" s="4009"/>
      <c r="AV180" s="4010"/>
      <c r="AW180" s="4011"/>
      <c r="AX180" s="4012"/>
      <c r="AY180" s="4013"/>
      <c r="AZ180" s="4014"/>
      <c r="BA180" s="4015"/>
      <c r="BB180" s="4016"/>
      <c r="BC180" s="2260"/>
      <c r="BD180" s="1648"/>
      <c r="BE180" s="1630"/>
      <c r="BF180" s="1630"/>
      <c r="BG180" s="1630"/>
      <c r="BH180" s="1630"/>
      <c r="BI180" s="1641">
        <v>0</v>
      </c>
    </row>
    <row customHeight="1" ht="14.25">
      <c r="A181" s="1369"/>
      <c r="B181" s="1369"/>
      <c r="C181" s="1369"/>
      <c r="D181" s="1369"/>
      <c r="E181" s="2265"/>
      <c r="F181" s="2265"/>
      <c r="G181" s="2265"/>
      <c r="H181" s="2265"/>
      <c r="I181" s="2292"/>
      <c r="J181" s="2292"/>
      <c r="K181" s="2262" t="str">
        <f>S177&amp;".1"</f>
        <v>.1.1</v>
      </c>
      <c r="L181" s="1375"/>
      <c r="M181" s="1782"/>
      <c r="N181" s="1782"/>
      <c r="O181" s="1782"/>
      <c r="P181" s="2380"/>
      <c r="Q181" s="2380"/>
      <c r="R181" s="2353">
        <v>1</v>
      </c>
      <c r="S181" s="2347" t="str">
        <f>$K181</f>
        <v>.1.1</v>
      </c>
      <c r="T181" s="2366"/>
      <c r="U181" s="306"/>
      <c r="V181" s="757"/>
      <c r="W181" s="1263"/>
      <c r="X181" s="757"/>
      <c r="Y181" s="1263"/>
      <c r="Z181" s="2608"/>
      <c r="AA181" s="2113" t="s">
        <v>62</v>
      </c>
      <c r="AB181" s="2608"/>
      <c r="AC181" s="2113" t="s">
        <v>62</v>
      </c>
      <c r="AD181" s="2191" t="s">
        <v>62</v>
      </c>
      <c r="AE181" s="2332"/>
      <c r="AF181" s="2443">
        <v>1</v>
      </c>
      <c r="AG181" s="2369"/>
      <c r="AH181" s="2113" t="s">
        <v>62</v>
      </c>
      <c r="AI181" s="689" t="s">
        <v>253</v>
      </c>
      <c r="AJ181" s="2443" t="s">
        <v>92</v>
      </c>
      <c r="AK181" s="2333" t="s">
        <v>536</v>
      </c>
      <c r="AL181" s="2113" t="s">
        <v>19</v>
      </c>
      <c r="AM181" s="2300"/>
      <c r="AN181" s="2443">
        <v>1</v>
      </c>
      <c r="AO181" s="2683" t="s">
        <v>28</v>
      </c>
      <c r="AP181" s="2364" t="s">
        <v>62</v>
      </c>
      <c r="AQ181" s="317"/>
      <c r="AR181" s="2443">
        <v>1</v>
      </c>
      <c r="AS181" s="2582" t="s">
        <v>541</v>
      </c>
      <c r="AT181" s="757"/>
      <c r="AU181" s="1263"/>
      <c r="AV181" s="757"/>
      <c r="AW181" s="1263">
        <v>17531.56</v>
      </c>
      <c r="AX181" s="2608">
        <v>46023.618310185186</v>
      </c>
      <c r="AY181" s="2113" t="s">
        <v>62</v>
      </c>
      <c r="AZ181" s="2608">
        <v>46387.63350694445</v>
      </c>
      <c r="BA181" s="2113" t="s">
        <v>62</v>
      </c>
      <c r="BB181" s="1354"/>
      <c r="BC181" s="2259" t="s">
        <v>514</v>
      </c>
      <c r="BD181" s="1648"/>
      <c r="BE181" s="1630"/>
      <c r="BF181" s="1630" t="str">
        <f>IF(T181="","",T181)</f>
        <v/>
      </c>
      <c r="BG181" s="1630"/>
      <c r="BH181" s="1630"/>
      <c r="BI181" s="1641">
        <v>0</v>
      </c>
    </row>
    <row customHeight="1" ht="14.25">
      <c r="A182" s="1369"/>
      <c r="B182" s="1369"/>
      <c r="C182" s="1369"/>
      <c r="D182" s="1369"/>
      <c r="E182" s="2265"/>
      <c r="F182" s="2265"/>
      <c r="G182" s="2265"/>
      <c r="H182" s="2265"/>
      <c r="I182" s="2292"/>
      <c r="J182" s="2292"/>
      <c r="K182" s="2262" t="str">
        <f>S178&amp;".1"</f>
        <v>.1.1</v>
      </c>
      <c r="L182" s="1375"/>
      <c r="M182" s="1782"/>
      <c r="N182" s="1782"/>
      <c r="O182" s="1782"/>
      <c r="P182" s="2380"/>
      <c r="Q182" s="2380"/>
      <c r="R182" s="2353">
        <v>1</v>
      </c>
      <c r="S182" s="2347" t="str">
        <f>$K182</f>
        <v>.1.1</v>
      </c>
      <c r="T182" s="2366"/>
      <c r="U182" s="306"/>
      <c r="V182" s="757"/>
      <c r="W182" s="1263"/>
      <c r="X182" s="757"/>
      <c r="Y182" s="1263"/>
      <c r="Z182" s="2608"/>
      <c r="AA182" s="2113" t="s">
        <v>62</v>
      </c>
      <c r="AB182" s="2608"/>
      <c r="AC182" s="2113" t="s">
        <v>62</v>
      </c>
      <c r="AD182" s="2191" t="s">
        <v>62</v>
      </c>
      <c r="AE182" s="2332"/>
      <c r="AF182" s="2443">
        <v>1</v>
      </c>
      <c r="AG182" s="2369"/>
      <c r="AH182" s="2113" t="s">
        <v>62</v>
      </c>
      <c r="AI182" s="2332"/>
      <c r="AJ182" s="2443">
        <v>1</v>
      </c>
      <c r="AK182" s="2333" t="s">
        <v>28</v>
      </c>
      <c r="AL182" s="2113" t="s">
        <v>62</v>
      </c>
      <c r="AM182" s="2300"/>
      <c r="AN182" s="2443">
        <v>1</v>
      </c>
      <c r="AO182" s="2683" t="s">
        <v>28</v>
      </c>
      <c r="AP182" s="2364" t="s">
        <v>62</v>
      </c>
      <c r="AQ182" s="689" t="s">
        <v>253</v>
      </c>
      <c r="AR182" s="2443" t="s">
        <v>112</v>
      </c>
      <c r="AS182" s="2582" t="s">
        <v>541</v>
      </c>
      <c r="AT182" s="757"/>
      <c r="AU182" s="1263"/>
      <c r="AV182" s="757"/>
      <c r="AW182" s="1263">
        <v>18145.07</v>
      </c>
      <c r="AX182" s="2608">
        <v>46023.61834490741</v>
      </c>
      <c r="AY182" s="2113" t="s">
        <v>62</v>
      </c>
      <c r="AZ182" s="2608">
        <v>46387.63361111111</v>
      </c>
      <c r="BA182" s="2113" t="s">
        <v>62</v>
      </c>
      <c r="BB182" s="1354"/>
      <c r="BC182" s="2259" t="s">
        <v>514</v>
      </c>
      <c r="BD182" s="1648"/>
      <c r="BE182" s="1630"/>
      <c r="BF182" s="1630" t="str">
        <f>IF(T182="","",T182)</f>
        <v/>
      </c>
      <c r="BG182" s="1630"/>
      <c r="BH182" s="1630"/>
      <c r="BI182" s="1641">
        <v>0</v>
      </c>
    </row>
    <row customHeight="1" ht="14.25">
      <c r="A183" s="1369"/>
      <c r="B183" s="1369"/>
      <c r="C183" s="1369"/>
      <c r="D183" s="1369"/>
      <c r="E183" s="2265"/>
      <c r="F183" s="2265"/>
      <c r="G183" s="2265"/>
      <c r="H183" s="2265"/>
      <c r="I183" s="2292"/>
      <c r="J183" s="2292"/>
      <c r="K183" s="2262"/>
      <c r="L183" s="1375"/>
      <c r="M183" s="1782"/>
      <c r="N183" s="1782"/>
      <c r="O183" s="1782"/>
      <c r="P183" s="2380"/>
      <c r="Q183" s="2380"/>
      <c r="R183" s="2353"/>
      <c r="S183" s="2348"/>
      <c r="T183" s="2367"/>
      <c r="U183" s="306"/>
      <c r="V183" s="4017"/>
      <c r="W183" s="4018"/>
      <c r="X183" s="4019"/>
      <c r="Y183" s="4020"/>
      <c r="Z183" s="4021"/>
      <c r="AA183" s="4022"/>
      <c r="AB183" s="4023"/>
      <c r="AC183" s="4024"/>
      <c r="AD183" s="2192"/>
      <c r="AE183" s="2332"/>
      <c r="AF183" s="2443"/>
      <c r="AG183" s="2369"/>
      <c r="AH183" s="2113"/>
      <c r="AI183" s="2332"/>
      <c r="AJ183" s="2443" t="s">
        <v>91</v>
      </c>
      <c r="AK183" s="2333"/>
      <c r="AL183" s="2113"/>
      <c r="AM183" s="2301"/>
      <c r="AN183" s="2443"/>
      <c r="AO183" s="2683" t="s">
        <v>28</v>
      </c>
      <c r="AP183" s="2365"/>
      <c r="AQ183" s="4025"/>
      <c r="AR183" s="4026"/>
      <c r="AS183" s="4027" t="s">
        <v>515</v>
      </c>
      <c r="AT183" s="4028"/>
      <c r="AU183" s="4029"/>
      <c r="AV183" s="4030"/>
      <c r="AW183" s="4031"/>
      <c r="AX183" s="4032"/>
      <c r="AY183" s="4033"/>
      <c r="AZ183" s="4034"/>
      <c r="BA183" s="4035"/>
      <c r="BB183" s="4036"/>
      <c r="BC183" s="2260"/>
      <c r="BD183" s="1648"/>
      <c r="BE183" s="1630"/>
      <c r="BF183" s="1630"/>
      <c r="BG183" s="1630"/>
      <c r="BH183" s="1630"/>
      <c r="BI183" s="1641">
        <v>0</v>
      </c>
    </row>
    <row customHeight="1" ht="14.25">
      <c r="A184" s="1369"/>
      <c r="B184" s="1369"/>
      <c r="C184" s="1369"/>
      <c r="D184" s="1369"/>
      <c r="E184" s="2265"/>
      <c r="F184" s="2265"/>
      <c r="G184" s="2265"/>
      <c r="H184" s="2265"/>
      <c r="I184" s="2292"/>
      <c r="J184" s="2292"/>
      <c r="K184" s="2262"/>
      <c r="L184" s="1375"/>
      <c r="M184" s="1782"/>
      <c r="N184" s="1782"/>
      <c r="O184" s="1782"/>
      <c r="P184" s="2380"/>
      <c r="Q184" s="2380"/>
      <c r="R184" s="2353"/>
      <c r="S184" s="2348"/>
      <c r="T184" s="2367"/>
      <c r="U184" s="306"/>
      <c r="V184" s="4037"/>
      <c r="W184" s="4038"/>
      <c r="X184" s="4039"/>
      <c r="Y184" s="4040"/>
      <c r="Z184" s="4041"/>
      <c r="AA184" s="4042"/>
      <c r="AB184" s="4043"/>
      <c r="AC184" s="4044"/>
      <c r="AD184" s="2192"/>
      <c r="AE184" s="2332"/>
      <c r="AF184" s="2443"/>
      <c r="AG184" s="2369"/>
      <c r="AH184" s="2113"/>
      <c r="AI184" s="2332"/>
      <c r="AJ184" s="2443" t="s">
        <v>91</v>
      </c>
      <c r="AK184" s="2333"/>
      <c r="AL184" s="2113"/>
      <c r="AM184" s="4045"/>
      <c r="AN184" s="4046"/>
      <c r="AO184" s="4047" t="s">
        <v>516</v>
      </c>
      <c r="AP184" s="4048"/>
      <c r="AQ184" s="4049"/>
      <c r="AR184" s="4050"/>
      <c r="AS184" s="4051"/>
      <c r="AT184" s="4052"/>
      <c r="AU184" s="4053"/>
      <c r="AV184" s="4054"/>
      <c r="AW184" s="4055"/>
      <c r="AX184" s="4056"/>
      <c r="AY184" s="4057"/>
      <c r="AZ184" s="4058"/>
      <c r="BA184" s="4059"/>
      <c r="BB184" s="4060"/>
      <c r="BC184" s="2260"/>
      <c r="BD184" s="1648"/>
      <c r="BE184" s="1630"/>
      <c r="BF184" s="1630"/>
      <c r="BG184" s="1630"/>
      <c r="BH184" s="1630"/>
      <c r="BI184" s="1641">
        <v>0</v>
      </c>
    </row>
    <row customHeight="1" ht="14.25">
      <c r="A185" s="1369"/>
      <c r="B185" s="1369"/>
      <c r="C185" s="1369"/>
      <c r="D185" s="1369"/>
      <c r="E185" s="2265"/>
      <c r="F185" s="2265"/>
      <c r="G185" s="2265"/>
      <c r="H185" s="2265"/>
      <c r="I185" s="2292"/>
      <c r="J185" s="2292"/>
      <c r="K185" s="2262" t="str">
        <f>S180&amp;".1"</f>
        <v>.1</v>
      </c>
      <c r="L185" s="1375"/>
      <c r="M185" s="1782"/>
      <c r="N185" s="1782"/>
      <c r="O185" s="1782"/>
      <c r="P185" s="2380"/>
      <c r="Q185" s="2380"/>
      <c r="R185" s="2353">
        <v>1</v>
      </c>
      <c r="S185" s="2347" t="str">
        <f>$K185</f>
        <v>.1</v>
      </c>
      <c r="T185" s="2366"/>
      <c r="U185" s="306"/>
      <c r="V185" s="757"/>
      <c r="W185" s="1263"/>
      <c r="X185" s="757"/>
      <c r="Y185" s="1263"/>
      <c r="Z185" s="2608"/>
      <c r="AA185" s="2113" t="s">
        <v>62</v>
      </c>
      <c r="AB185" s="2608"/>
      <c r="AC185" s="2113" t="s">
        <v>62</v>
      </c>
      <c r="AD185" s="2191" t="s">
        <v>62</v>
      </c>
      <c r="AE185" s="2332"/>
      <c r="AF185" s="2443">
        <v>1</v>
      </c>
      <c r="AG185" s="2369"/>
      <c r="AH185" s="2113" t="s">
        <v>62</v>
      </c>
      <c r="AI185" s="689" t="s">
        <v>253</v>
      </c>
      <c r="AJ185" s="2443" t="s">
        <v>113</v>
      </c>
      <c r="AK185" s="2333" t="s">
        <v>537</v>
      </c>
      <c r="AL185" s="2113" t="s">
        <v>19</v>
      </c>
      <c r="AM185" s="2300"/>
      <c r="AN185" s="2443">
        <v>1</v>
      </c>
      <c r="AO185" s="2683" t="s">
        <v>28</v>
      </c>
      <c r="AP185" s="2364" t="s">
        <v>62</v>
      </c>
      <c r="AQ185" s="317"/>
      <c r="AR185" s="2443">
        <v>1</v>
      </c>
      <c r="AS185" s="2582" t="s">
        <v>541</v>
      </c>
      <c r="AT185" s="757"/>
      <c r="AU185" s="1263"/>
      <c r="AV185" s="757"/>
      <c r="AW185" s="1263">
        <v>21330.67</v>
      </c>
      <c r="AX185" s="2608">
        <v>46023.61837962963</v>
      </c>
      <c r="AY185" s="2113" t="s">
        <v>62</v>
      </c>
      <c r="AZ185" s="2608">
        <v>46387.63371527778</v>
      </c>
      <c r="BA185" s="2113" t="s">
        <v>62</v>
      </c>
      <c r="BB185" s="1354"/>
      <c r="BC185" s="2259" t="s">
        <v>514</v>
      </c>
      <c r="BD185" s="1648"/>
      <c r="BE185" s="1630"/>
      <c r="BF185" s="1630" t="str">
        <f>IF(T185="","",T185)</f>
        <v/>
      </c>
      <c r="BG185" s="1630"/>
      <c r="BH185" s="1630"/>
      <c r="BI185" s="1641">
        <v>0</v>
      </c>
    </row>
    <row customHeight="1" ht="14.25">
      <c r="A186" s="1369"/>
      <c r="B186" s="1369"/>
      <c r="C186" s="1369"/>
      <c r="D186" s="1369"/>
      <c r="E186" s="2265"/>
      <c r="F186" s="2265"/>
      <c r="G186" s="2265"/>
      <c r="H186" s="2265"/>
      <c r="I186" s="2292"/>
      <c r="J186" s="2292"/>
      <c r="K186" s="2262" t="str">
        <f>S182&amp;".1"</f>
        <v>.1.1.1</v>
      </c>
      <c r="L186" s="1375"/>
      <c r="M186" s="1782"/>
      <c r="N186" s="1782"/>
      <c r="O186" s="1782"/>
      <c r="P186" s="2380"/>
      <c r="Q186" s="2380"/>
      <c r="R186" s="2353">
        <v>1</v>
      </c>
      <c r="S186" s="2347" t="str">
        <f>$K186</f>
        <v>.1.1.1</v>
      </c>
      <c r="T186" s="2366"/>
      <c r="U186" s="306"/>
      <c r="V186" s="757"/>
      <c r="W186" s="1263"/>
      <c r="X186" s="757"/>
      <c r="Y186" s="1263"/>
      <c r="Z186" s="2608"/>
      <c r="AA186" s="2113" t="s">
        <v>62</v>
      </c>
      <c r="AB186" s="2608"/>
      <c r="AC186" s="2113" t="s">
        <v>62</v>
      </c>
      <c r="AD186" s="2191" t="s">
        <v>62</v>
      </c>
      <c r="AE186" s="2332"/>
      <c r="AF186" s="2443">
        <v>1</v>
      </c>
      <c r="AG186" s="2369"/>
      <c r="AH186" s="2113" t="s">
        <v>62</v>
      </c>
      <c r="AI186" s="2332"/>
      <c r="AJ186" s="2443">
        <v>1</v>
      </c>
      <c r="AK186" s="2333" t="s">
        <v>28</v>
      </c>
      <c r="AL186" s="2113" t="s">
        <v>62</v>
      </c>
      <c r="AM186" s="2300"/>
      <c r="AN186" s="2443">
        <v>1</v>
      </c>
      <c r="AO186" s="2683" t="s">
        <v>28</v>
      </c>
      <c r="AP186" s="2364" t="s">
        <v>62</v>
      </c>
      <c r="AQ186" s="689" t="s">
        <v>253</v>
      </c>
      <c r="AR186" s="2443" t="s">
        <v>112</v>
      </c>
      <c r="AS186" s="2582" t="s">
        <v>541</v>
      </c>
      <c r="AT186" s="757"/>
      <c r="AU186" s="1263"/>
      <c r="AV186" s="757"/>
      <c r="AW186" s="1263">
        <v>21594.61</v>
      </c>
      <c r="AX186" s="2608">
        <v>46023.618414351855</v>
      </c>
      <c r="AY186" s="2113" t="s">
        <v>62</v>
      </c>
      <c r="AZ186" s="2608">
        <v>46387.63379629629</v>
      </c>
      <c r="BA186" s="2113" t="s">
        <v>62</v>
      </c>
      <c r="BB186" s="1354"/>
      <c r="BC186" s="2259" t="s">
        <v>514</v>
      </c>
      <c r="BD186" s="1648"/>
      <c r="BE186" s="1630"/>
      <c r="BF186" s="1630" t="str">
        <f>IF(T186="","",T186)</f>
        <v/>
      </c>
      <c r="BG186" s="1630"/>
      <c r="BH186" s="1630"/>
      <c r="BI186" s="1641">
        <v>0</v>
      </c>
    </row>
    <row customHeight="1" ht="14.25">
      <c r="A187" s="1369"/>
      <c r="B187" s="1369"/>
      <c r="C187" s="1369"/>
      <c r="D187" s="1369"/>
      <c r="E187" s="2265"/>
      <c r="F187" s="2265"/>
      <c r="G187" s="2265"/>
      <c r="H187" s="2265"/>
      <c r="I187" s="2292"/>
      <c r="J187" s="2292"/>
      <c r="K187" s="2262"/>
      <c r="L187" s="1375"/>
      <c r="M187" s="1782"/>
      <c r="N187" s="1782"/>
      <c r="O187" s="1782"/>
      <c r="P187" s="2380"/>
      <c r="Q187" s="2380"/>
      <c r="R187" s="2353"/>
      <c r="S187" s="2348"/>
      <c r="T187" s="2367"/>
      <c r="U187" s="306"/>
      <c r="V187" s="4061"/>
      <c r="W187" s="4062"/>
      <c r="X187" s="4063"/>
      <c r="Y187" s="4064"/>
      <c r="Z187" s="4065"/>
      <c r="AA187" s="4066"/>
      <c r="AB187" s="4067"/>
      <c r="AC187" s="4068"/>
      <c r="AD187" s="2192"/>
      <c r="AE187" s="2332"/>
      <c r="AF187" s="2443"/>
      <c r="AG187" s="2369"/>
      <c r="AH187" s="2113"/>
      <c r="AI187" s="2332"/>
      <c r="AJ187" s="2443" t="s">
        <v>92</v>
      </c>
      <c r="AK187" s="2333"/>
      <c r="AL187" s="2113"/>
      <c r="AM187" s="2301"/>
      <c r="AN187" s="2443"/>
      <c r="AO187" s="2683" t="s">
        <v>28</v>
      </c>
      <c r="AP187" s="2365"/>
      <c r="AQ187" s="4069"/>
      <c r="AR187" s="4070"/>
      <c r="AS187" s="4071" t="s">
        <v>515</v>
      </c>
      <c r="AT187" s="4072"/>
      <c r="AU187" s="4073"/>
      <c r="AV187" s="4074"/>
      <c r="AW187" s="4075"/>
      <c r="AX187" s="4076"/>
      <c r="AY187" s="4077"/>
      <c r="AZ187" s="4078"/>
      <c r="BA187" s="4079"/>
      <c r="BB187" s="4080"/>
      <c r="BC187" s="2260"/>
      <c r="BD187" s="1648"/>
      <c r="BE187" s="1630"/>
      <c r="BF187" s="1630"/>
      <c r="BG187" s="1630"/>
      <c r="BH187" s="1630"/>
      <c r="BI187" s="1641">
        <v>0</v>
      </c>
    </row>
    <row customHeight="1" ht="14.25">
      <c r="A188" s="1369"/>
      <c r="B188" s="1369"/>
      <c r="C188" s="1369"/>
      <c r="D188" s="1369"/>
      <c r="E188" s="2265"/>
      <c r="F188" s="2265"/>
      <c r="G188" s="2265"/>
      <c r="H188" s="2265"/>
      <c r="I188" s="2292"/>
      <c r="J188" s="2292"/>
      <c r="K188" s="2262"/>
      <c r="L188" s="1375"/>
      <c r="M188" s="1782"/>
      <c r="N188" s="1782"/>
      <c r="O188" s="1782"/>
      <c r="P188" s="2380"/>
      <c r="Q188" s="2380"/>
      <c r="R188" s="2353"/>
      <c r="S188" s="2348"/>
      <c r="T188" s="2367"/>
      <c r="U188" s="306"/>
      <c r="V188" s="4081"/>
      <c r="W188" s="4082"/>
      <c r="X188" s="4083"/>
      <c r="Y188" s="4084"/>
      <c r="Z188" s="4085"/>
      <c r="AA188" s="4086"/>
      <c r="AB188" s="4087"/>
      <c r="AC188" s="4088"/>
      <c r="AD188" s="2192"/>
      <c r="AE188" s="2332"/>
      <c r="AF188" s="2443"/>
      <c r="AG188" s="2369"/>
      <c r="AH188" s="2113"/>
      <c r="AI188" s="2332"/>
      <c r="AJ188" s="2443" t="s">
        <v>92</v>
      </c>
      <c r="AK188" s="2333"/>
      <c r="AL188" s="2113"/>
      <c r="AM188" s="4089"/>
      <c r="AN188" s="4090"/>
      <c r="AO188" s="4091" t="s">
        <v>516</v>
      </c>
      <c r="AP188" s="4092"/>
      <c r="AQ188" s="4093"/>
      <c r="AR188" s="4094"/>
      <c r="AS188" s="4095"/>
      <c r="AT188" s="4096"/>
      <c r="AU188" s="4097"/>
      <c r="AV188" s="4098"/>
      <c r="AW188" s="4099"/>
      <c r="AX188" s="4100"/>
      <c r="AY188" s="4101"/>
      <c r="AZ188" s="4102"/>
      <c r="BA188" s="4103"/>
      <c r="BB188" s="4104"/>
      <c r="BC188" s="2260"/>
      <c r="BD188" s="1648"/>
      <c r="BE188" s="1630"/>
      <c r="BF188" s="1630"/>
      <c r="BG188" s="1630"/>
      <c r="BH188" s="1630"/>
      <c r="BI188" s="1641">
        <v>0</v>
      </c>
    </row>
    <row customHeight="1" ht="14.25">
      <c r="A189" s="1369"/>
      <c r="B189" s="1369"/>
      <c r="C189" s="1369"/>
      <c r="D189" s="1369"/>
      <c r="E189" s="2265"/>
      <c r="F189" s="2265"/>
      <c r="G189" s="2265"/>
      <c r="H189" s="2265"/>
      <c r="I189" s="2292"/>
      <c r="J189" s="2292"/>
      <c r="K189" s="2262" t="str">
        <f>S65&amp;".3"</f>
        <v>2.1.1.3</v>
      </c>
      <c r="L189" s="1375"/>
      <c r="M189" s="1782"/>
      <c r="N189" s="1782"/>
      <c r="O189" s="1782"/>
      <c r="P189" s="2380"/>
      <c r="Q189" s="2380"/>
      <c r="R189" s="2353"/>
      <c r="S189" s="2348"/>
      <c r="T189" s="2367"/>
      <c r="U189" s="306"/>
      <c r="V189" s="4105"/>
      <c r="W189" s="4106"/>
      <c r="X189" s="4107"/>
      <c r="Y189" s="4108"/>
      <c r="Z189" s="4109"/>
      <c r="AA189" s="4110"/>
      <c r="AB189" s="4111"/>
      <c r="AC189" s="4112"/>
      <c r="AD189" s="2192"/>
      <c r="AE189" s="2332"/>
      <c r="AF189" s="2443"/>
      <c r="AG189" s="2682" t="s">
        <v>28</v>
      </c>
      <c r="AH189" s="2113"/>
      <c r="AI189" s="4113"/>
      <c r="AJ189" s="4114"/>
      <c r="AK189" s="4115" t="s">
        <v>517</v>
      </c>
      <c r="AL189" s="4116"/>
      <c r="AM189" s="4117"/>
      <c r="AN189" s="4118"/>
      <c r="AO189" s="4119"/>
      <c r="AP189" s="4120"/>
      <c r="AQ189" s="4121"/>
      <c r="AR189" s="4122"/>
      <c r="AS189" s="4123"/>
      <c r="AT189" s="4124"/>
      <c r="AU189" s="4125"/>
      <c r="AV189" s="4126"/>
      <c r="AW189" s="4127"/>
      <c r="AX189" s="4128"/>
      <c r="AY189" s="4129"/>
      <c r="AZ189" s="4130"/>
      <c r="BA189" s="4131"/>
      <c r="BB189" s="4132"/>
      <c r="BC189" s="2260"/>
      <c r="BD189" s="1648"/>
      <c r="BE189" s="1630"/>
      <c r="BF189" s="1630"/>
      <c r="BG189" s="1630"/>
      <c r="BH189" s="1630"/>
      <c r="BI189" s="1641">
        <v>0</v>
      </c>
    </row>
    <row customHeight="1" ht="14.25">
      <c r="A190" s="1369"/>
      <c r="B190" s="1369"/>
      <c r="C190" s="1369"/>
      <c r="D190" s="1369"/>
      <c r="E190" s="2265"/>
      <c r="F190" s="2265"/>
      <c r="G190" s="2265"/>
      <c r="H190" s="2265"/>
      <c r="I190" s="2292"/>
      <c r="J190" s="2292"/>
      <c r="K190" s="2262" t="str">
        <f>S65&amp;".3"</f>
        <v>2.1.1.3</v>
      </c>
      <c r="L190" s="1375"/>
      <c r="M190" s="1782"/>
      <c r="N190" s="1782"/>
      <c r="O190" s="1782"/>
      <c r="P190" s="2380"/>
      <c r="Q190" s="2380"/>
      <c r="R190" s="2353"/>
      <c r="S190" s="2349"/>
      <c r="T190" s="2368"/>
      <c r="U190" s="306"/>
      <c r="V190" s="4133"/>
      <c r="W190" s="4134" t="str">
        <f>Z165&amp;"-"&amp;AB165</f>
        <v>-</v>
      </c>
      <c r="X190" s="4135"/>
      <c r="Y190" s="4136" t="str">
        <f>AB165&amp;"-"&amp;AD165</f>
        <v>-нет</v>
      </c>
      <c r="Z190" s="4137"/>
      <c r="AA190" s="4138"/>
      <c r="AB190" s="4139"/>
      <c r="AC190" s="4140"/>
      <c r="AD190" s="2118"/>
      <c r="AE190" s="4141"/>
      <c r="AF190" s="4142"/>
      <c r="AG190" s="4143" t="s">
        <v>518</v>
      </c>
      <c r="AH190" s="4144"/>
      <c r="AI190" s="4145"/>
      <c r="AJ190" s="4146"/>
      <c r="AK190" s="4147"/>
      <c r="AL190" s="4148"/>
      <c r="AM190" s="4149"/>
      <c r="AN190" s="4150"/>
      <c r="AO190" s="4151"/>
      <c r="AP190" s="4152"/>
      <c r="AQ190" s="4153"/>
      <c r="AR190" s="4154"/>
      <c r="AS190" s="4155"/>
      <c r="AT190" s="4156"/>
      <c r="AU190" s="4157" t="str">
        <f>AX165&amp;"-"&amp;AZ165</f>
        <v>46023.61791666667-46387.63238425926</v>
      </c>
      <c r="AV190" s="4158"/>
      <c r="AW190" s="4159" t="str">
        <f>AZ165&amp;"-"&amp;BB165</f>
        <v>46387.63238425926-</v>
      </c>
      <c r="AX190" s="4160"/>
      <c r="AY190" s="4161"/>
      <c r="AZ190" s="4162"/>
      <c r="BA190" s="4163"/>
      <c r="BB190" s="4164" t="str">
        <f>BE165&amp;"-"&amp;BG165</f>
        <v>-</v>
      </c>
      <c r="BC190" s="2260"/>
      <c r="BD190" s="1648"/>
      <c r="BE190" s="1630"/>
      <c r="BF190" s="1630" t="str">
        <f>IF(T190="","",T190)</f>
        <v/>
      </c>
      <c r="BG190" s="1630"/>
      <c r="BH190" s="1630"/>
      <c r="BI190" s="1641">
        <v>0</v>
      </c>
    </row>
    <row customHeight="1" ht="14.25">
      <c r="A191" s="1369"/>
      <c r="B191" s="1369"/>
      <c r="C191" s="1369"/>
      <c r="D191" s="1369"/>
      <c r="E191" s="2265"/>
      <c r="F191" s="2265"/>
      <c r="G191" s="2265"/>
      <c r="H191" s="2265"/>
      <c r="I191" s="2292"/>
      <c r="J191" s="2292"/>
      <c r="K191" s="2262" t="str">
        <f>S65&amp;".5"</f>
        <v>2.1.1.5</v>
      </c>
      <c r="L191" s="1375"/>
      <c r="M191" s="1782"/>
      <c r="N191" s="1782"/>
      <c r="O191" s="1782"/>
      <c r="P191" s="2380"/>
      <c r="Q191" s="2380"/>
      <c r="R191" s="689" t="s">
        <v>253</v>
      </c>
      <c r="S191" s="2347" t="str">
        <f>$K191</f>
        <v>2.1.1.5</v>
      </c>
      <c r="T191" s="2366" t="s">
        <v>542</v>
      </c>
      <c r="U191" s="306"/>
      <c r="V191" s="757"/>
      <c r="W191" s="1263"/>
      <c r="X191" s="757"/>
      <c r="Y191" s="1263"/>
      <c r="Z191" s="2608"/>
      <c r="AA191" s="2113" t="s">
        <v>62</v>
      </c>
      <c r="AB191" s="2608"/>
      <c r="AC191" s="2113" t="s">
        <v>62</v>
      </c>
      <c r="AD191" s="2191" t="s">
        <v>19</v>
      </c>
      <c r="AE191" s="2332"/>
      <c r="AF191" s="2443">
        <v>1</v>
      </c>
      <c r="AG191" s="2682" t="s">
        <v>28</v>
      </c>
      <c r="AH191" s="2113" t="s">
        <v>62</v>
      </c>
      <c r="AI191" s="2332"/>
      <c r="AJ191" s="2443">
        <v>1</v>
      </c>
      <c r="AK191" s="2333" t="s">
        <v>533</v>
      </c>
      <c r="AL191" s="2113" t="s">
        <v>19</v>
      </c>
      <c r="AM191" s="2300"/>
      <c r="AN191" s="2443">
        <v>1</v>
      </c>
      <c r="AO191" s="2683" t="s">
        <v>28</v>
      </c>
      <c r="AP191" s="2364" t="s">
        <v>62</v>
      </c>
      <c r="AQ191" s="317"/>
      <c r="AR191" s="2443">
        <v>1</v>
      </c>
      <c r="AS191" s="2582" t="s">
        <v>541</v>
      </c>
      <c r="AT191" s="757"/>
      <c r="AU191" s="1263"/>
      <c r="AV191" s="757"/>
      <c r="AW191" s="1263">
        <v>1765.67</v>
      </c>
      <c r="AX191" s="2608">
        <v>46023.61844907407</v>
      </c>
      <c r="AY191" s="2113" t="s">
        <v>62</v>
      </c>
      <c r="AZ191" s="2608">
        <v>46387.633888888886</v>
      </c>
      <c r="BA191" s="2113" t="s">
        <v>62</v>
      </c>
      <c r="BB191" s="1354"/>
      <c r="BC191" s="2259" t="s">
        <v>514</v>
      </c>
      <c r="BD191" s="1648"/>
      <c r="BE191" s="1630"/>
      <c r="BF191" s="1630" t="str">
        <f>IF(T191="","",T191)</f>
        <v>Наружные инженерные сети водопровода, разработка грунта в отвал, трубы полиэтиленовые диаметром:</v>
      </c>
      <c r="BG191" s="1630"/>
      <c r="BH191" s="1630"/>
      <c r="BI191" s="1641">
        <v>0</v>
      </c>
    </row>
    <row customHeight="1" ht="14.25">
      <c r="A192" s="1369"/>
      <c r="B192" s="1369"/>
      <c r="C192" s="1369"/>
      <c r="D192" s="1369"/>
      <c r="E192" s="2265"/>
      <c r="F192" s="2265"/>
      <c r="G192" s="2265"/>
      <c r="H192" s="2265"/>
      <c r="I192" s="2292"/>
      <c r="J192" s="2292"/>
      <c r="K192" s="2262" t="str">
        <f>S188&amp;".1"</f>
        <v>.1</v>
      </c>
      <c r="L192" s="1375"/>
      <c r="M192" s="1782"/>
      <c r="N192" s="1782"/>
      <c r="O192" s="1782"/>
      <c r="P192" s="2380"/>
      <c r="Q192" s="2380"/>
      <c r="R192" s="2353">
        <v>1</v>
      </c>
      <c r="S192" s="2347" t="str">
        <f>$K192</f>
        <v>.1</v>
      </c>
      <c r="T192" s="2366"/>
      <c r="U192" s="306"/>
      <c r="V192" s="757"/>
      <c r="W192" s="1263"/>
      <c r="X192" s="757"/>
      <c r="Y192" s="1263"/>
      <c r="Z192" s="2608"/>
      <c r="AA192" s="2113" t="s">
        <v>62</v>
      </c>
      <c r="AB192" s="2608"/>
      <c r="AC192" s="2113" t="s">
        <v>62</v>
      </c>
      <c r="AD192" s="2191" t="s">
        <v>62</v>
      </c>
      <c r="AE192" s="2332"/>
      <c r="AF192" s="2443">
        <v>1</v>
      </c>
      <c r="AG192" s="2369"/>
      <c r="AH192" s="2113" t="s">
        <v>62</v>
      </c>
      <c r="AI192" s="2332"/>
      <c r="AJ192" s="2443">
        <v>1</v>
      </c>
      <c r="AK192" s="2333" t="s">
        <v>28</v>
      </c>
      <c r="AL192" s="2113" t="s">
        <v>62</v>
      </c>
      <c r="AM192" s="2300"/>
      <c r="AN192" s="2443">
        <v>1</v>
      </c>
      <c r="AO192" s="2683" t="s">
        <v>28</v>
      </c>
      <c r="AP192" s="2364" t="s">
        <v>62</v>
      </c>
      <c r="AQ192" s="689" t="s">
        <v>253</v>
      </c>
      <c r="AR192" s="2443" t="s">
        <v>112</v>
      </c>
      <c r="AS192" s="2582" t="s">
        <v>541</v>
      </c>
      <c r="AT192" s="757"/>
      <c r="AU192" s="1263"/>
      <c r="AV192" s="757"/>
      <c r="AW192" s="1263">
        <v>2570.02</v>
      </c>
      <c r="AX192" s="2608">
        <v>46023.61850694445</v>
      </c>
      <c r="AY192" s="2113" t="s">
        <v>62</v>
      </c>
      <c r="AZ192" s="2608">
        <v>46387.63396990741</v>
      </c>
      <c r="BA192" s="2113" t="s">
        <v>62</v>
      </c>
      <c r="BB192" s="1354"/>
      <c r="BC192" s="2259" t="s">
        <v>514</v>
      </c>
      <c r="BD192" s="1648"/>
      <c r="BE192" s="1630"/>
      <c r="BF192" s="1630" t="str">
        <f>IF(T192="","",T192)</f>
        <v/>
      </c>
      <c r="BG192" s="1630"/>
      <c r="BH192" s="1630"/>
      <c r="BI192" s="1641">
        <v>0</v>
      </c>
    </row>
    <row customHeight="1" ht="14.25">
      <c r="A193" s="1369"/>
      <c r="B193" s="1369"/>
      <c r="C193" s="1369"/>
      <c r="D193" s="1369"/>
      <c r="E193" s="2265"/>
      <c r="F193" s="2265"/>
      <c r="G193" s="2265"/>
      <c r="H193" s="2265"/>
      <c r="I193" s="2292"/>
      <c r="J193" s="2292"/>
      <c r="K193" s="2262" t="str">
        <f>S189&amp;".1"</f>
        <v>.1</v>
      </c>
      <c r="L193" s="1375"/>
      <c r="M193" s="1782"/>
      <c r="N193" s="1782"/>
      <c r="O193" s="1782"/>
      <c r="P193" s="2380"/>
      <c r="Q193" s="2380"/>
      <c r="R193" s="2353">
        <v>1</v>
      </c>
      <c r="S193" s="2347" t="str">
        <f>$K193</f>
        <v>.1</v>
      </c>
      <c r="T193" s="2366"/>
      <c r="U193" s="306"/>
      <c r="V193" s="757"/>
      <c r="W193" s="1263"/>
      <c r="X193" s="757"/>
      <c r="Y193" s="1263"/>
      <c r="Z193" s="2608"/>
      <c r="AA193" s="2113" t="s">
        <v>62</v>
      </c>
      <c r="AB193" s="2608"/>
      <c r="AC193" s="2113" t="s">
        <v>62</v>
      </c>
      <c r="AD193" s="2191" t="s">
        <v>62</v>
      </c>
      <c r="AE193" s="2332"/>
      <c r="AF193" s="2443">
        <v>1</v>
      </c>
      <c r="AG193" s="2369"/>
      <c r="AH193" s="2113" t="s">
        <v>62</v>
      </c>
      <c r="AI193" s="2332"/>
      <c r="AJ193" s="2443">
        <v>1</v>
      </c>
      <c r="AK193" s="2333" t="s">
        <v>28</v>
      </c>
      <c r="AL193" s="2113" t="s">
        <v>62</v>
      </c>
      <c r="AM193" s="2300"/>
      <c r="AN193" s="2443">
        <v>1</v>
      </c>
      <c r="AO193" s="2683" t="s">
        <v>28</v>
      </c>
      <c r="AP193" s="2364" t="s">
        <v>62</v>
      </c>
      <c r="AQ193" s="689" t="s">
        <v>253</v>
      </c>
      <c r="AR193" s="2443" t="s">
        <v>91</v>
      </c>
      <c r="AS193" s="2582" t="s">
        <v>541</v>
      </c>
      <c r="AT193" s="757"/>
      <c r="AU193" s="1263"/>
      <c r="AV193" s="757"/>
      <c r="AW193" s="1263">
        <v>2506.11</v>
      </c>
      <c r="AX193" s="2608">
        <v>46023.61854166666</v>
      </c>
      <c r="AY193" s="2113" t="s">
        <v>62</v>
      </c>
      <c r="AZ193" s="2608">
        <v>46387.6340625</v>
      </c>
      <c r="BA193" s="2113" t="s">
        <v>62</v>
      </c>
      <c r="BB193" s="1354"/>
      <c r="BC193" s="2259" t="s">
        <v>514</v>
      </c>
      <c r="BD193" s="1648"/>
      <c r="BE193" s="1630"/>
      <c r="BF193" s="1630" t="str">
        <f>IF(T193="","",T193)</f>
        <v/>
      </c>
      <c r="BG193" s="1630"/>
      <c r="BH193" s="1630"/>
      <c r="BI193" s="1641">
        <v>0</v>
      </c>
    </row>
    <row customHeight="1" ht="14.25">
      <c r="A194" s="1369"/>
      <c r="B194" s="1369"/>
      <c r="C194" s="1369"/>
      <c r="D194" s="1369"/>
      <c r="E194" s="2265"/>
      <c r="F194" s="2265"/>
      <c r="G194" s="2265"/>
      <c r="H194" s="2265"/>
      <c r="I194" s="2292"/>
      <c r="J194" s="2292"/>
      <c r="K194" s="2262" t="str">
        <f>S190&amp;".1"</f>
        <v>.1</v>
      </c>
      <c r="L194" s="1375"/>
      <c r="M194" s="1782"/>
      <c r="N194" s="1782"/>
      <c r="O194" s="1782"/>
      <c r="P194" s="2380"/>
      <c r="Q194" s="2380"/>
      <c r="R194" s="2353">
        <v>1</v>
      </c>
      <c r="S194" s="2347" t="str">
        <f>$K194</f>
        <v>.1</v>
      </c>
      <c r="T194" s="2366"/>
      <c r="U194" s="306"/>
      <c r="V194" s="757"/>
      <c r="W194" s="1263"/>
      <c r="X194" s="757"/>
      <c r="Y194" s="1263"/>
      <c r="Z194" s="2608"/>
      <c r="AA194" s="2113" t="s">
        <v>62</v>
      </c>
      <c r="AB194" s="2608"/>
      <c r="AC194" s="2113" t="s">
        <v>62</v>
      </c>
      <c r="AD194" s="2191" t="s">
        <v>62</v>
      </c>
      <c r="AE194" s="2332"/>
      <c r="AF194" s="2443">
        <v>1</v>
      </c>
      <c r="AG194" s="2369"/>
      <c r="AH194" s="2113" t="s">
        <v>62</v>
      </c>
      <c r="AI194" s="2332"/>
      <c r="AJ194" s="2443">
        <v>1</v>
      </c>
      <c r="AK194" s="2333" t="s">
        <v>28</v>
      </c>
      <c r="AL194" s="2113" t="s">
        <v>62</v>
      </c>
      <c r="AM194" s="2300"/>
      <c r="AN194" s="2443">
        <v>1</v>
      </c>
      <c r="AO194" s="2683" t="s">
        <v>28</v>
      </c>
      <c r="AP194" s="2364" t="s">
        <v>62</v>
      </c>
      <c r="AQ194" s="689" t="s">
        <v>253</v>
      </c>
      <c r="AR194" s="2443" t="s">
        <v>92</v>
      </c>
      <c r="AS194" s="2582" t="s">
        <v>541</v>
      </c>
      <c r="AT194" s="757"/>
      <c r="AU194" s="1263"/>
      <c r="AV194" s="757"/>
      <c r="AW194" s="1263">
        <v>3647.77</v>
      </c>
      <c r="AX194" s="2608">
        <v>46023.618576388886</v>
      </c>
      <c r="AY194" s="2113" t="s">
        <v>62</v>
      </c>
      <c r="AZ194" s="2608">
        <v>46387.63413194445</v>
      </c>
      <c r="BA194" s="2113" t="s">
        <v>62</v>
      </c>
      <c r="BB194" s="1354"/>
      <c r="BC194" s="2259" t="s">
        <v>514</v>
      </c>
      <c r="BD194" s="1648"/>
      <c r="BE194" s="1630"/>
      <c r="BF194" s="1630" t="str">
        <f>IF(T194="","",T194)</f>
        <v/>
      </c>
      <c r="BG194" s="1630"/>
      <c r="BH194" s="1630"/>
      <c r="BI194" s="1641">
        <v>0</v>
      </c>
    </row>
    <row customHeight="1" ht="14.25">
      <c r="A195" s="1369"/>
      <c r="B195" s="1369"/>
      <c r="C195" s="1369"/>
      <c r="D195" s="1369"/>
      <c r="E195" s="2265"/>
      <c r="F195" s="2265"/>
      <c r="G195" s="2265"/>
      <c r="H195" s="2265"/>
      <c r="I195" s="2292"/>
      <c r="J195" s="2292"/>
      <c r="K195" s="2262" t="str">
        <f>S65&amp;".4"</f>
        <v>2.1.1.4</v>
      </c>
      <c r="L195" s="1375"/>
      <c r="M195" s="1782"/>
      <c r="N195" s="1782"/>
      <c r="O195" s="1782"/>
      <c r="P195" s="2380"/>
      <c r="Q195" s="2380"/>
      <c r="R195" s="2353"/>
      <c r="S195" s="2348"/>
      <c r="T195" s="2367"/>
      <c r="U195" s="306"/>
      <c r="V195" s="4165"/>
      <c r="W195" s="4166"/>
      <c r="X195" s="4167"/>
      <c r="Y195" s="4168"/>
      <c r="Z195" s="4169"/>
      <c r="AA195" s="4170"/>
      <c r="AB195" s="4171"/>
      <c r="AC195" s="4172"/>
      <c r="AD195" s="2192"/>
      <c r="AE195" s="2332"/>
      <c r="AF195" s="2443"/>
      <c r="AG195" s="2682" t="s">
        <v>28</v>
      </c>
      <c r="AH195" s="2113"/>
      <c r="AI195" s="2332"/>
      <c r="AJ195" s="2443"/>
      <c r="AK195" s="2333"/>
      <c r="AL195" s="2113"/>
      <c r="AM195" s="2301"/>
      <c r="AN195" s="2443"/>
      <c r="AO195" s="2683" t="s">
        <v>28</v>
      </c>
      <c r="AP195" s="2365"/>
      <c r="AQ195" s="4173"/>
      <c r="AR195" s="4174"/>
      <c r="AS195" s="4175" t="s">
        <v>515</v>
      </c>
      <c r="AT195" s="4176"/>
      <c r="AU195" s="4177"/>
      <c r="AV195" s="4178"/>
      <c r="AW195" s="4179"/>
      <c r="AX195" s="4180"/>
      <c r="AY195" s="4181"/>
      <c r="AZ195" s="4182"/>
      <c r="BA195" s="4183"/>
      <c r="BB195" s="4184"/>
      <c r="BC195" s="2260"/>
      <c r="BD195" s="1648"/>
      <c r="BE195" s="1630"/>
      <c r="BF195" s="1630"/>
      <c r="BG195" s="1630"/>
      <c r="BH195" s="1630"/>
      <c r="BI195" s="1641">
        <v>0</v>
      </c>
    </row>
    <row customHeight="1" ht="14.25">
      <c r="A196" s="1369"/>
      <c r="B196" s="1369"/>
      <c r="C196" s="1369"/>
      <c r="D196" s="1369"/>
      <c r="E196" s="2265"/>
      <c r="F196" s="2265"/>
      <c r="G196" s="2265"/>
      <c r="H196" s="2265"/>
      <c r="I196" s="2292"/>
      <c r="J196" s="2292"/>
      <c r="K196" s="2262" t="str">
        <f>S65&amp;".4"</f>
        <v>2.1.1.4</v>
      </c>
      <c r="L196" s="1375"/>
      <c r="M196" s="1782"/>
      <c r="N196" s="1782"/>
      <c r="O196" s="1782"/>
      <c r="P196" s="2380"/>
      <c r="Q196" s="2380"/>
      <c r="R196" s="2353"/>
      <c r="S196" s="2348"/>
      <c r="T196" s="2367"/>
      <c r="U196" s="306"/>
      <c r="V196" s="4185"/>
      <c r="W196" s="4186"/>
      <c r="X196" s="4187"/>
      <c r="Y196" s="4188"/>
      <c r="Z196" s="4189"/>
      <c r="AA196" s="4190"/>
      <c r="AB196" s="4191"/>
      <c r="AC196" s="4192"/>
      <c r="AD196" s="2192"/>
      <c r="AE196" s="2332"/>
      <c r="AF196" s="2443"/>
      <c r="AG196" s="2682" t="s">
        <v>28</v>
      </c>
      <c r="AH196" s="2113"/>
      <c r="AI196" s="2332"/>
      <c r="AJ196" s="2443"/>
      <c r="AK196" s="2333"/>
      <c r="AL196" s="2113"/>
      <c r="AM196" s="4193"/>
      <c r="AN196" s="4194"/>
      <c r="AO196" s="4195" t="s">
        <v>516</v>
      </c>
      <c r="AP196" s="4196"/>
      <c r="AQ196" s="4197"/>
      <c r="AR196" s="4198"/>
      <c r="AS196" s="4199"/>
      <c r="AT196" s="4200"/>
      <c r="AU196" s="4201"/>
      <c r="AV196" s="4202"/>
      <c r="AW196" s="4203"/>
      <c r="AX196" s="4204"/>
      <c r="AY196" s="4205"/>
      <c r="AZ196" s="4206"/>
      <c r="BA196" s="4207"/>
      <c r="BB196" s="4208"/>
      <c r="BC196" s="2260"/>
      <c r="BD196" s="1648"/>
      <c r="BE196" s="1630"/>
      <c r="BF196" s="1630"/>
      <c r="BG196" s="1630"/>
      <c r="BH196" s="1630"/>
      <c r="BI196" s="1641">
        <v>0</v>
      </c>
    </row>
    <row customHeight="1" ht="14.25">
      <c r="A197" s="1369"/>
      <c r="B197" s="1369"/>
      <c r="C197" s="1369"/>
      <c r="D197" s="1369"/>
      <c r="E197" s="2265"/>
      <c r="F197" s="2265"/>
      <c r="G197" s="2265"/>
      <c r="H197" s="2265"/>
      <c r="I197" s="2292"/>
      <c r="J197" s="2292"/>
      <c r="K197" s="2262" t="str">
        <f>S190&amp;".1"</f>
        <v>.1</v>
      </c>
      <c r="L197" s="1375"/>
      <c r="M197" s="1782"/>
      <c r="N197" s="1782"/>
      <c r="O197" s="1782"/>
      <c r="P197" s="2380"/>
      <c r="Q197" s="2380"/>
      <c r="R197" s="2353">
        <v>1</v>
      </c>
      <c r="S197" s="2347" t="str">
        <f>$K197</f>
        <v>.1</v>
      </c>
      <c r="T197" s="2366"/>
      <c r="U197" s="306"/>
      <c r="V197" s="757"/>
      <c r="W197" s="1263"/>
      <c r="X197" s="757"/>
      <c r="Y197" s="1263"/>
      <c r="Z197" s="2608"/>
      <c r="AA197" s="2113" t="s">
        <v>62</v>
      </c>
      <c r="AB197" s="2608"/>
      <c r="AC197" s="2113" t="s">
        <v>62</v>
      </c>
      <c r="AD197" s="2191" t="s">
        <v>62</v>
      </c>
      <c r="AE197" s="2332"/>
      <c r="AF197" s="2443">
        <v>1</v>
      </c>
      <c r="AG197" s="2369"/>
      <c r="AH197" s="2113" t="s">
        <v>62</v>
      </c>
      <c r="AI197" s="689" t="s">
        <v>253</v>
      </c>
      <c r="AJ197" s="2443" t="s">
        <v>112</v>
      </c>
      <c r="AK197" s="2333" t="s">
        <v>534</v>
      </c>
      <c r="AL197" s="2113" t="s">
        <v>19</v>
      </c>
      <c r="AM197" s="2300"/>
      <c r="AN197" s="2443">
        <v>1</v>
      </c>
      <c r="AO197" s="2683" t="s">
        <v>28</v>
      </c>
      <c r="AP197" s="2364" t="s">
        <v>62</v>
      </c>
      <c r="AQ197" s="317"/>
      <c r="AR197" s="2443">
        <v>1</v>
      </c>
      <c r="AS197" s="2582" t="s">
        <v>541</v>
      </c>
      <c r="AT197" s="757"/>
      <c r="AU197" s="1263"/>
      <c r="AV197" s="757"/>
      <c r="AW197" s="1263">
        <v>5695.7</v>
      </c>
      <c r="AX197" s="2608">
        <v>46023.618622685186</v>
      </c>
      <c r="AY197" s="2113" t="s">
        <v>62</v>
      </c>
      <c r="AZ197" s="2608">
        <v>46387.63425925926</v>
      </c>
      <c r="BA197" s="2113" t="s">
        <v>62</v>
      </c>
      <c r="BB197" s="1354"/>
      <c r="BC197" s="2259" t="s">
        <v>514</v>
      </c>
      <c r="BD197" s="1648"/>
      <c r="BE197" s="1630"/>
      <c r="BF197" s="1630" t="str">
        <f>IF(T197="","",T197)</f>
        <v/>
      </c>
      <c r="BG197" s="1630"/>
      <c r="BH197" s="1630"/>
      <c r="BI197" s="1641">
        <v>0</v>
      </c>
    </row>
    <row customHeight="1" ht="14.25">
      <c r="A198" s="1369"/>
      <c r="B198" s="1369"/>
      <c r="C198" s="1369"/>
      <c r="D198" s="1369"/>
      <c r="E198" s="2265"/>
      <c r="F198" s="2265"/>
      <c r="G198" s="2265"/>
      <c r="H198" s="2265"/>
      <c r="I198" s="2292"/>
      <c r="J198" s="2292"/>
      <c r="K198" s="2262" t="str">
        <f>S194&amp;".1"</f>
        <v>.1.1</v>
      </c>
      <c r="L198" s="1375"/>
      <c r="M198" s="1782"/>
      <c r="N198" s="1782"/>
      <c r="O198" s="1782"/>
      <c r="P198" s="2380"/>
      <c r="Q198" s="2380"/>
      <c r="R198" s="2353">
        <v>1</v>
      </c>
      <c r="S198" s="2347" t="str">
        <f>$K198</f>
        <v>.1.1</v>
      </c>
      <c r="T198" s="2366"/>
      <c r="U198" s="306"/>
      <c r="V198" s="757"/>
      <c r="W198" s="1263"/>
      <c r="X198" s="757"/>
      <c r="Y198" s="1263"/>
      <c r="Z198" s="2608"/>
      <c r="AA198" s="2113" t="s">
        <v>62</v>
      </c>
      <c r="AB198" s="2608"/>
      <c r="AC198" s="2113" t="s">
        <v>62</v>
      </c>
      <c r="AD198" s="2191" t="s">
        <v>62</v>
      </c>
      <c r="AE198" s="2332"/>
      <c r="AF198" s="2443">
        <v>1</v>
      </c>
      <c r="AG198" s="2369"/>
      <c r="AH198" s="2113" t="s">
        <v>62</v>
      </c>
      <c r="AI198" s="2332"/>
      <c r="AJ198" s="2443">
        <v>1</v>
      </c>
      <c r="AK198" s="2333" t="s">
        <v>28</v>
      </c>
      <c r="AL198" s="2113" t="s">
        <v>62</v>
      </c>
      <c r="AM198" s="2300"/>
      <c r="AN198" s="2443">
        <v>1</v>
      </c>
      <c r="AO198" s="2683" t="s">
        <v>28</v>
      </c>
      <c r="AP198" s="2364" t="s">
        <v>62</v>
      </c>
      <c r="AQ198" s="689" t="s">
        <v>253</v>
      </c>
      <c r="AR198" s="2443" t="s">
        <v>112</v>
      </c>
      <c r="AS198" s="2582" t="s">
        <v>541</v>
      </c>
      <c r="AT198" s="757"/>
      <c r="AU198" s="1263"/>
      <c r="AV198" s="757"/>
      <c r="AW198" s="1263">
        <v>8290.38</v>
      </c>
      <c r="AX198" s="2608">
        <v>46023.61864583333</v>
      </c>
      <c r="AY198" s="2113" t="s">
        <v>62</v>
      </c>
      <c r="AZ198" s="2608">
        <v>46387.66504629629</v>
      </c>
      <c r="BA198" s="2113" t="s">
        <v>62</v>
      </c>
      <c r="BB198" s="1354"/>
      <c r="BC198" s="2259" t="s">
        <v>514</v>
      </c>
      <c r="BD198" s="1648"/>
      <c r="BE198" s="1630"/>
      <c r="BF198" s="1630" t="str">
        <f>IF(T198="","",T198)</f>
        <v/>
      </c>
      <c r="BG198" s="1630"/>
      <c r="BH198" s="1630"/>
      <c r="BI198" s="1641">
        <v>0</v>
      </c>
    </row>
    <row customHeight="1" ht="14.25">
      <c r="A199" s="1369"/>
      <c r="B199" s="1369"/>
      <c r="C199" s="1369"/>
      <c r="D199" s="1369"/>
      <c r="E199" s="2265"/>
      <c r="F199" s="2265"/>
      <c r="G199" s="2265"/>
      <c r="H199" s="2265"/>
      <c r="I199" s="2292"/>
      <c r="J199" s="2292"/>
      <c r="K199" s="2262"/>
      <c r="L199" s="1375"/>
      <c r="M199" s="1782"/>
      <c r="N199" s="1782"/>
      <c r="O199" s="1782"/>
      <c r="P199" s="2380"/>
      <c r="Q199" s="2380"/>
      <c r="R199" s="2353"/>
      <c r="S199" s="2348"/>
      <c r="T199" s="2367"/>
      <c r="U199" s="306"/>
      <c r="V199" s="4209"/>
      <c r="W199" s="4210"/>
      <c r="X199" s="4211"/>
      <c r="Y199" s="4212"/>
      <c r="Z199" s="4213"/>
      <c r="AA199" s="4214"/>
      <c r="AB199" s="4215"/>
      <c r="AC199" s="4216"/>
      <c r="AD199" s="2192"/>
      <c r="AE199" s="2332"/>
      <c r="AF199" s="2443"/>
      <c r="AG199" s="2369"/>
      <c r="AH199" s="2113"/>
      <c r="AI199" s="2332"/>
      <c r="AJ199" s="2443">
        <v>1</v>
      </c>
      <c r="AK199" s="2333"/>
      <c r="AL199" s="2113"/>
      <c r="AM199" s="2301"/>
      <c r="AN199" s="2443"/>
      <c r="AO199" s="2683" t="s">
        <v>28</v>
      </c>
      <c r="AP199" s="2365"/>
      <c r="AQ199" s="4217"/>
      <c r="AR199" s="4218"/>
      <c r="AS199" s="4219" t="s">
        <v>515</v>
      </c>
      <c r="AT199" s="4220"/>
      <c r="AU199" s="4221"/>
      <c r="AV199" s="4222"/>
      <c r="AW199" s="4223"/>
      <c r="AX199" s="4224"/>
      <c r="AY199" s="4225"/>
      <c r="AZ199" s="4226"/>
      <c r="BA199" s="4227"/>
      <c r="BB199" s="4228"/>
      <c r="BC199" s="2260"/>
      <c r="BD199" s="1648"/>
      <c r="BE199" s="1630"/>
      <c r="BF199" s="1630"/>
      <c r="BG199" s="1630"/>
      <c r="BH199" s="1630"/>
      <c r="BI199" s="1641">
        <v>0</v>
      </c>
    </row>
    <row customHeight="1" ht="14.25">
      <c r="A200" s="1369"/>
      <c r="B200" s="1369"/>
      <c r="C200" s="1369"/>
      <c r="D200" s="1369"/>
      <c r="E200" s="2265"/>
      <c r="F200" s="2265"/>
      <c r="G200" s="2265"/>
      <c r="H200" s="2265"/>
      <c r="I200" s="2292"/>
      <c r="J200" s="2292"/>
      <c r="K200" s="2262"/>
      <c r="L200" s="1375"/>
      <c r="M200" s="1782"/>
      <c r="N200" s="1782"/>
      <c r="O200" s="1782"/>
      <c r="P200" s="2380"/>
      <c r="Q200" s="2380"/>
      <c r="R200" s="2353"/>
      <c r="S200" s="2348"/>
      <c r="T200" s="2367"/>
      <c r="U200" s="306"/>
      <c r="V200" s="4229"/>
      <c r="W200" s="4230"/>
      <c r="X200" s="4231"/>
      <c r="Y200" s="4232"/>
      <c r="Z200" s="4233"/>
      <c r="AA200" s="4234"/>
      <c r="AB200" s="4235"/>
      <c r="AC200" s="4236"/>
      <c r="AD200" s="2192"/>
      <c r="AE200" s="2332"/>
      <c r="AF200" s="2443"/>
      <c r="AG200" s="2369"/>
      <c r="AH200" s="2113"/>
      <c r="AI200" s="2332"/>
      <c r="AJ200" s="2443">
        <v>1</v>
      </c>
      <c r="AK200" s="2333"/>
      <c r="AL200" s="2113"/>
      <c r="AM200" s="4237"/>
      <c r="AN200" s="4238"/>
      <c r="AO200" s="4239" t="s">
        <v>516</v>
      </c>
      <c r="AP200" s="4240"/>
      <c r="AQ200" s="4241"/>
      <c r="AR200" s="4242"/>
      <c r="AS200" s="4243"/>
      <c r="AT200" s="4244"/>
      <c r="AU200" s="4245"/>
      <c r="AV200" s="4246"/>
      <c r="AW200" s="4247"/>
      <c r="AX200" s="4248"/>
      <c r="AY200" s="4249"/>
      <c r="AZ200" s="4250"/>
      <c r="BA200" s="4251"/>
      <c r="BB200" s="4252"/>
      <c r="BC200" s="2260"/>
      <c r="BD200" s="1648"/>
      <c r="BE200" s="1630"/>
      <c r="BF200" s="1630"/>
      <c r="BG200" s="1630"/>
      <c r="BH200" s="1630"/>
      <c r="BI200" s="1641">
        <v>0</v>
      </c>
    </row>
    <row customHeight="1" ht="14.25">
      <c r="A201" s="1369"/>
      <c r="B201" s="1369"/>
      <c r="C201" s="1369"/>
      <c r="D201" s="1369"/>
      <c r="E201" s="2265"/>
      <c r="F201" s="2265"/>
      <c r="G201" s="2265"/>
      <c r="H201" s="2265"/>
      <c r="I201" s="2292"/>
      <c r="J201" s="2292"/>
      <c r="K201" s="2262" t="str">
        <f>S196&amp;".1"</f>
        <v>.1</v>
      </c>
      <c r="L201" s="1375"/>
      <c r="M201" s="1782"/>
      <c r="N201" s="1782"/>
      <c r="O201" s="1782"/>
      <c r="P201" s="2380"/>
      <c r="Q201" s="2380"/>
      <c r="R201" s="2353">
        <v>1</v>
      </c>
      <c r="S201" s="2347" t="str">
        <f>$K201</f>
        <v>.1</v>
      </c>
      <c r="T201" s="2366"/>
      <c r="U201" s="306"/>
      <c r="V201" s="757"/>
      <c r="W201" s="1263"/>
      <c r="X201" s="757"/>
      <c r="Y201" s="1263"/>
      <c r="Z201" s="2608"/>
      <c r="AA201" s="2113" t="s">
        <v>62</v>
      </c>
      <c r="AB201" s="2608"/>
      <c r="AC201" s="2113" t="s">
        <v>62</v>
      </c>
      <c r="AD201" s="2191" t="s">
        <v>62</v>
      </c>
      <c r="AE201" s="2332"/>
      <c r="AF201" s="2443">
        <v>1</v>
      </c>
      <c r="AG201" s="2369"/>
      <c r="AH201" s="2113" t="s">
        <v>62</v>
      </c>
      <c r="AI201" s="689" t="s">
        <v>253</v>
      </c>
      <c r="AJ201" s="2443" t="s">
        <v>91</v>
      </c>
      <c r="AK201" s="2333" t="s">
        <v>535</v>
      </c>
      <c r="AL201" s="2113" t="s">
        <v>19</v>
      </c>
      <c r="AM201" s="2300"/>
      <c r="AN201" s="2443">
        <v>1</v>
      </c>
      <c r="AO201" s="2683" t="s">
        <v>28</v>
      </c>
      <c r="AP201" s="2364" t="s">
        <v>62</v>
      </c>
      <c r="AQ201" s="317"/>
      <c r="AR201" s="2443">
        <v>1</v>
      </c>
      <c r="AS201" s="2582" t="s">
        <v>541</v>
      </c>
      <c r="AT201" s="757"/>
      <c r="AU201" s="1263"/>
      <c r="AV201" s="757"/>
      <c r="AW201" s="1263">
        <v>6413.34</v>
      </c>
      <c r="AX201" s="2608">
        <v>46023.6187037037</v>
      </c>
      <c r="AY201" s="2113" t="s">
        <v>62</v>
      </c>
      <c r="AZ201" s="2608">
        <v>46387.634409722225</v>
      </c>
      <c r="BA201" s="2113" t="s">
        <v>62</v>
      </c>
      <c r="BB201" s="1354"/>
      <c r="BC201" s="2259" t="s">
        <v>514</v>
      </c>
      <c r="BD201" s="1648"/>
      <c r="BE201" s="1630"/>
      <c r="BF201" s="1630" t="str">
        <f>IF(T201="","",T201)</f>
        <v/>
      </c>
      <c r="BG201" s="1630"/>
      <c r="BH201" s="1630"/>
      <c r="BI201" s="1641">
        <v>0</v>
      </c>
    </row>
    <row customHeight="1" ht="14.25">
      <c r="A202" s="1369"/>
      <c r="B202" s="1369"/>
      <c r="C202" s="1369"/>
      <c r="D202" s="1369"/>
      <c r="E202" s="2265"/>
      <c r="F202" s="2265"/>
      <c r="G202" s="2265"/>
      <c r="H202" s="2265"/>
      <c r="I202" s="2292"/>
      <c r="J202" s="2292"/>
      <c r="K202" s="2262" t="str">
        <f>S198&amp;".1"</f>
        <v>.1.1.1</v>
      </c>
      <c r="L202" s="1375"/>
      <c r="M202" s="1782"/>
      <c r="N202" s="1782"/>
      <c r="O202" s="1782"/>
      <c r="P202" s="2380"/>
      <c r="Q202" s="2380"/>
      <c r="R202" s="2353">
        <v>1</v>
      </c>
      <c r="S202" s="2347" t="str">
        <f>$K202</f>
        <v>.1.1.1</v>
      </c>
      <c r="T202" s="2366"/>
      <c r="U202" s="306"/>
      <c r="V202" s="757"/>
      <c r="W202" s="1263"/>
      <c r="X202" s="757"/>
      <c r="Y202" s="1263"/>
      <c r="Z202" s="2608"/>
      <c r="AA202" s="2113" t="s">
        <v>62</v>
      </c>
      <c r="AB202" s="2608"/>
      <c r="AC202" s="2113" t="s">
        <v>62</v>
      </c>
      <c r="AD202" s="2191" t="s">
        <v>62</v>
      </c>
      <c r="AE202" s="2332"/>
      <c r="AF202" s="2443">
        <v>1</v>
      </c>
      <c r="AG202" s="2369"/>
      <c r="AH202" s="2113" t="s">
        <v>62</v>
      </c>
      <c r="AI202" s="2332"/>
      <c r="AJ202" s="2443">
        <v>1</v>
      </c>
      <c r="AK202" s="2333" t="s">
        <v>28</v>
      </c>
      <c r="AL202" s="2113" t="s">
        <v>62</v>
      </c>
      <c r="AM202" s="2300"/>
      <c r="AN202" s="2443">
        <v>1</v>
      </c>
      <c r="AO202" s="2683" t="s">
        <v>28</v>
      </c>
      <c r="AP202" s="2364" t="s">
        <v>62</v>
      </c>
      <c r="AQ202" s="689" t="s">
        <v>253</v>
      </c>
      <c r="AR202" s="2443" t="s">
        <v>112</v>
      </c>
      <c r="AS202" s="2582" t="s">
        <v>541</v>
      </c>
      <c r="AT202" s="757"/>
      <c r="AU202" s="1263"/>
      <c r="AV202" s="757"/>
      <c r="AW202" s="1263">
        <v>9066.34</v>
      </c>
      <c r="AX202" s="2608">
        <v>46023.61875</v>
      </c>
      <c r="AY202" s="2113" t="s">
        <v>62</v>
      </c>
      <c r="AZ202" s="2608">
        <v>46387.63450231482</v>
      </c>
      <c r="BA202" s="2113" t="s">
        <v>62</v>
      </c>
      <c r="BB202" s="1354"/>
      <c r="BC202" s="2259" t="s">
        <v>514</v>
      </c>
      <c r="BD202" s="1648"/>
      <c r="BE202" s="1630"/>
      <c r="BF202" s="1630" t="str">
        <f>IF(T202="","",T202)</f>
        <v/>
      </c>
      <c r="BG202" s="1630"/>
      <c r="BH202" s="1630"/>
      <c r="BI202" s="1641">
        <v>0</v>
      </c>
    </row>
    <row customHeight="1" ht="14.25">
      <c r="A203" s="1369"/>
      <c r="B203" s="1369"/>
      <c r="C203" s="1369"/>
      <c r="D203" s="1369"/>
      <c r="E203" s="2265"/>
      <c r="F203" s="2265"/>
      <c r="G203" s="2265"/>
      <c r="H203" s="2265"/>
      <c r="I203" s="2292"/>
      <c r="J203" s="2292"/>
      <c r="K203" s="2262" t="str">
        <f>S199&amp;".1"</f>
        <v>.1</v>
      </c>
      <c r="L203" s="1375"/>
      <c r="M203" s="1782"/>
      <c r="N203" s="1782"/>
      <c r="O203" s="1782"/>
      <c r="P203" s="2380"/>
      <c r="Q203" s="2380"/>
      <c r="R203" s="2353">
        <v>1</v>
      </c>
      <c r="S203" s="2347" t="str">
        <f>$K203</f>
        <v>.1</v>
      </c>
      <c r="T203" s="2366"/>
      <c r="U203" s="306"/>
      <c r="V203" s="757"/>
      <c r="W203" s="1263"/>
      <c r="X203" s="757"/>
      <c r="Y203" s="1263"/>
      <c r="Z203" s="2608"/>
      <c r="AA203" s="2113" t="s">
        <v>62</v>
      </c>
      <c r="AB203" s="2608"/>
      <c r="AC203" s="2113" t="s">
        <v>62</v>
      </c>
      <c r="AD203" s="2191" t="s">
        <v>62</v>
      </c>
      <c r="AE203" s="2332"/>
      <c r="AF203" s="2443">
        <v>1</v>
      </c>
      <c r="AG203" s="2369"/>
      <c r="AH203" s="2113" t="s">
        <v>62</v>
      </c>
      <c r="AI203" s="2332"/>
      <c r="AJ203" s="2443">
        <v>1</v>
      </c>
      <c r="AK203" s="2333" t="s">
        <v>28</v>
      </c>
      <c r="AL203" s="2113" t="s">
        <v>62</v>
      </c>
      <c r="AM203" s="2300"/>
      <c r="AN203" s="2443">
        <v>1</v>
      </c>
      <c r="AO203" s="2683" t="s">
        <v>28</v>
      </c>
      <c r="AP203" s="2364" t="s">
        <v>62</v>
      </c>
      <c r="AQ203" s="689" t="s">
        <v>253</v>
      </c>
      <c r="AR203" s="2443" t="s">
        <v>91</v>
      </c>
      <c r="AS203" s="2582" t="s">
        <v>541</v>
      </c>
      <c r="AT203" s="757"/>
      <c r="AU203" s="1263"/>
      <c r="AV203" s="757"/>
      <c r="AW203" s="1263">
        <v>7495.25</v>
      </c>
      <c r="AX203" s="2608">
        <v>46023.618784722225</v>
      </c>
      <c r="AY203" s="2113" t="s">
        <v>62</v>
      </c>
      <c r="AZ203" s="2608">
        <v>46387.63459490741</v>
      </c>
      <c r="BA203" s="2113" t="s">
        <v>62</v>
      </c>
      <c r="BB203" s="1354"/>
      <c r="BC203" s="2259" t="s">
        <v>514</v>
      </c>
      <c r="BD203" s="1648"/>
      <c r="BE203" s="1630"/>
      <c r="BF203" s="1630" t="str">
        <f>IF(T203="","",T203)</f>
        <v/>
      </c>
      <c r="BG203" s="1630"/>
      <c r="BH203" s="1630"/>
      <c r="BI203" s="1641">
        <v>0</v>
      </c>
    </row>
    <row customHeight="1" ht="14.25">
      <c r="A204" s="1369"/>
      <c r="B204" s="1369"/>
      <c r="C204" s="1369"/>
      <c r="D204" s="1369"/>
      <c r="E204" s="2265"/>
      <c r="F204" s="2265"/>
      <c r="G204" s="2265"/>
      <c r="H204" s="2265"/>
      <c r="I204" s="2292"/>
      <c r="J204" s="2292"/>
      <c r="K204" s="2262" t="str">
        <f>S200&amp;".1"</f>
        <v>.1</v>
      </c>
      <c r="L204" s="1375"/>
      <c r="M204" s="1782"/>
      <c r="N204" s="1782"/>
      <c r="O204" s="1782"/>
      <c r="P204" s="2380"/>
      <c r="Q204" s="2380"/>
      <c r="R204" s="2353">
        <v>1</v>
      </c>
      <c r="S204" s="2347" t="str">
        <f>$K204</f>
        <v>.1</v>
      </c>
      <c r="T204" s="2366"/>
      <c r="U204" s="306"/>
      <c r="V204" s="757"/>
      <c r="W204" s="1263"/>
      <c r="X204" s="757"/>
      <c r="Y204" s="1263"/>
      <c r="Z204" s="2608"/>
      <c r="AA204" s="2113" t="s">
        <v>62</v>
      </c>
      <c r="AB204" s="2608"/>
      <c r="AC204" s="2113" t="s">
        <v>62</v>
      </c>
      <c r="AD204" s="2191" t="s">
        <v>62</v>
      </c>
      <c r="AE204" s="2332"/>
      <c r="AF204" s="2443">
        <v>1</v>
      </c>
      <c r="AG204" s="2369"/>
      <c r="AH204" s="2113" t="s">
        <v>62</v>
      </c>
      <c r="AI204" s="2332"/>
      <c r="AJ204" s="2443">
        <v>1</v>
      </c>
      <c r="AK204" s="2333" t="s">
        <v>28</v>
      </c>
      <c r="AL204" s="2113" t="s">
        <v>62</v>
      </c>
      <c r="AM204" s="2300"/>
      <c r="AN204" s="2443">
        <v>1</v>
      </c>
      <c r="AO204" s="2683" t="s">
        <v>28</v>
      </c>
      <c r="AP204" s="2364" t="s">
        <v>62</v>
      </c>
      <c r="AQ204" s="689" t="s">
        <v>253</v>
      </c>
      <c r="AR204" s="2443" t="s">
        <v>92</v>
      </c>
      <c r="AS204" s="2582" t="s">
        <v>541</v>
      </c>
      <c r="AT204" s="757"/>
      <c r="AU204" s="1263"/>
      <c r="AV204" s="757"/>
      <c r="AW204" s="1263">
        <v>10201.83</v>
      </c>
      <c r="AX204" s="2608">
        <v>46023.61881944445</v>
      </c>
      <c r="AY204" s="2113" t="s">
        <v>62</v>
      </c>
      <c r="AZ204" s="2608">
        <v>46387.63475694445</v>
      </c>
      <c r="BA204" s="2113" t="s">
        <v>62</v>
      </c>
      <c r="BB204" s="1354"/>
      <c r="BC204" s="2259" t="s">
        <v>514</v>
      </c>
      <c r="BD204" s="1648"/>
      <c r="BE204" s="1630"/>
      <c r="BF204" s="1630" t="str">
        <f>IF(T204="","",T204)</f>
        <v/>
      </c>
      <c r="BG204" s="1630"/>
      <c r="BH204" s="1630"/>
      <c r="BI204" s="1641">
        <v>0</v>
      </c>
    </row>
    <row customHeight="1" ht="14.25">
      <c r="A205" s="1369"/>
      <c r="B205" s="1369"/>
      <c r="C205" s="1369"/>
      <c r="D205" s="1369"/>
      <c r="E205" s="2265"/>
      <c r="F205" s="2265"/>
      <c r="G205" s="2265"/>
      <c r="H205" s="2265"/>
      <c r="I205" s="2292"/>
      <c r="J205" s="2292"/>
      <c r="K205" s="2262"/>
      <c r="L205" s="1375"/>
      <c r="M205" s="1782"/>
      <c r="N205" s="1782"/>
      <c r="O205" s="1782"/>
      <c r="P205" s="2380"/>
      <c r="Q205" s="2380"/>
      <c r="R205" s="2353"/>
      <c r="S205" s="2348"/>
      <c r="T205" s="2367"/>
      <c r="U205" s="306"/>
      <c r="V205" s="4253"/>
      <c r="W205" s="4254"/>
      <c r="X205" s="4255"/>
      <c r="Y205" s="4256"/>
      <c r="Z205" s="4257"/>
      <c r="AA205" s="4258"/>
      <c r="AB205" s="4259"/>
      <c r="AC205" s="4260"/>
      <c r="AD205" s="2192"/>
      <c r="AE205" s="2332"/>
      <c r="AF205" s="2443"/>
      <c r="AG205" s="2369"/>
      <c r="AH205" s="2113"/>
      <c r="AI205" s="2332"/>
      <c r="AJ205" s="2443" t="s">
        <v>112</v>
      </c>
      <c r="AK205" s="2333"/>
      <c r="AL205" s="2113"/>
      <c r="AM205" s="2301"/>
      <c r="AN205" s="2443"/>
      <c r="AO205" s="2683" t="s">
        <v>28</v>
      </c>
      <c r="AP205" s="2365"/>
      <c r="AQ205" s="4261"/>
      <c r="AR205" s="4262"/>
      <c r="AS205" s="4263" t="s">
        <v>515</v>
      </c>
      <c r="AT205" s="4264"/>
      <c r="AU205" s="4265"/>
      <c r="AV205" s="4266"/>
      <c r="AW205" s="4267"/>
      <c r="AX205" s="4268"/>
      <c r="AY205" s="4269"/>
      <c r="AZ205" s="4270"/>
      <c r="BA205" s="4271"/>
      <c r="BB205" s="4272"/>
      <c r="BC205" s="2260"/>
      <c r="BD205" s="1648"/>
      <c r="BE205" s="1630"/>
      <c r="BF205" s="1630"/>
      <c r="BG205" s="1630"/>
      <c r="BH205" s="1630"/>
      <c r="BI205" s="1641">
        <v>0</v>
      </c>
    </row>
    <row customHeight="1" ht="14.25">
      <c r="A206" s="1369"/>
      <c r="B206" s="1369"/>
      <c r="C206" s="1369"/>
      <c r="D206" s="1369"/>
      <c r="E206" s="2265"/>
      <c r="F206" s="2265"/>
      <c r="G206" s="2265"/>
      <c r="H206" s="2265"/>
      <c r="I206" s="2292"/>
      <c r="J206" s="2292"/>
      <c r="K206" s="2262"/>
      <c r="L206" s="1375"/>
      <c r="M206" s="1782"/>
      <c r="N206" s="1782"/>
      <c r="O206" s="1782"/>
      <c r="P206" s="2380"/>
      <c r="Q206" s="2380"/>
      <c r="R206" s="2353"/>
      <c r="S206" s="2348"/>
      <c r="T206" s="2367"/>
      <c r="U206" s="306"/>
      <c r="V206" s="4273"/>
      <c r="W206" s="4274"/>
      <c r="X206" s="4275"/>
      <c r="Y206" s="4276"/>
      <c r="Z206" s="4277"/>
      <c r="AA206" s="4278"/>
      <c r="AB206" s="4279"/>
      <c r="AC206" s="4280"/>
      <c r="AD206" s="2192"/>
      <c r="AE206" s="2332"/>
      <c r="AF206" s="2443"/>
      <c r="AG206" s="2369"/>
      <c r="AH206" s="2113"/>
      <c r="AI206" s="2332"/>
      <c r="AJ206" s="2443" t="s">
        <v>112</v>
      </c>
      <c r="AK206" s="2333"/>
      <c r="AL206" s="2113"/>
      <c r="AM206" s="4281"/>
      <c r="AN206" s="4282"/>
      <c r="AO206" s="4283" t="s">
        <v>516</v>
      </c>
      <c r="AP206" s="4284"/>
      <c r="AQ206" s="4285"/>
      <c r="AR206" s="4286"/>
      <c r="AS206" s="4287"/>
      <c r="AT206" s="4288"/>
      <c r="AU206" s="4289"/>
      <c r="AV206" s="4290"/>
      <c r="AW206" s="4291"/>
      <c r="AX206" s="4292"/>
      <c r="AY206" s="4293"/>
      <c r="AZ206" s="4294"/>
      <c r="BA206" s="4295"/>
      <c r="BB206" s="4296"/>
      <c r="BC206" s="2260"/>
      <c r="BD206" s="1648"/>
      <c r="BE206" s="1630"/>
      <c r="BF206" s="1630"/>
      <c r="BG206" s="1630"/>
      <c r="BH206" s="1630"/>
      <c r="BI206" s="1641">
        <v>0</v>
      </c>
    </row>
    <row customHeight="1" ht="14.25">
      <c r="A207" s="1369"/>
      <c r="B207" s="1369"/>
      <c r="C207" s="1369"/>
      <c r="D207" s="1369"/>
      <c r="E207" s="2265"/>
      <c r="F207" s="2265"/>
      <c r="G207" s="2265"/>
      <c r="H207" s="2265"/>
      <c r="I207" s="2292"/>
      <c r="J207" s="2292"/>
      <c r="K207" s="2262" t="str">
        <f>S203&amp;".1"</f>
        <v>.1.1</v>
      </c>
      <c r="L207" s="1375"/>
      <c r="M207" s="1782"/>
      <c r="N207" s="1782"/>
      <c r="O207" s="1782"/>
      <c r="P207" s="2380"/>
      <c r="Q207" s="2380"/>
      <c r="R207" s="2353">
        <v>1</v>
      </c>
      <c r="S207" s="2347" t="str">
        <f>$K207</f>
        <v>.1.1</v>
      </c>
      <c r="T207" s="2366"/>
      <c r="U207" s="306"/>
      <c r="V207" s="757"/>
      <c r="W207" s="1263"/>
      <c r="X207" s="757"/>
      <c r="Y207" s="1263"/>
      <c r="Z207" s="2608"/>
      <c r="AA207" s="2113" t="s">
        <v>62</v>
      </c>
      <c r="AB207" s="2608"/>
      <c r="AC207" s="2113" t="s">
        <v>62</v>
      </c>
      <c r="AD207" s="2191" t="s">
        <v>62</v>
      </c>
      <c r="AE207" s="2332"/>
      <c r="AF207" s="2443">
        <v>1</v>
      </c>
      <c r="AG207" s="2369"/>
      <c r="AH207" s="2113" t="s">
        <v>62</v>
      </c>
      <c r="AI207" s="689" t="s">
        <v>253</v>
      </c>
      <c r="AJ207" s="2443" t="s">
        <v>92</v>
      </c>
      <c r="AK207" s="2333" t="s">
        <v>536</v>
      </c>
      <c r="AL207" s="2113" t="s">
        <v>19</v>
      </c>
      <c r="AM207" s="2300"/>
      <c r="AN207" s="2443">
        <v>1</v>
      </c>
      <c r="AO207" s="2683" t="s">
        <v>28</v>
      </c>
      <c r="AP207" s="2364" t="s">
        <v>62</v>
      </c>
      <c r="AQ207" s="317"/>
      <c r="AR207" s="2443">
        <v>1</v>
      </c>
      <c r="AS207" s="2582" t="s">
        <v>541</v>
      </c>
      <c r="AT207" s="757"/>
      <c r="AU207" s="1263"/>
      <c r="AV207" s="757"/>
      <c r="AW207" s="1263">
        <v>9824.51</v>
      </c>
      <c r="AX207" s="2608">
        <v>46023.61885416666</v>
      </c>
      <c r="AY207" s="2113" t="s">
        <v>62</v>
      </c>
      <c r="AZ207" s="2608">
        <v>46387.63482638889</v>
      </c>
      <c r="BA207" s="2113" t="s">
        <v>62</v>
      </c>
      <c r="BB207" s="1354"/>
      <c r="BC207" s="2259" t="s">
        <v>514</v>
      </c>
      <c r="BD207" s="1648"/>
      <c r="BE207" s="1630"/>
      <c r="BF207" s="1630" t="str">
        <f>IF(T207="","",T207)</f>
        <v/>
      </c>
      <c r="BG207" s="1630"/>
      <c r="BH207" s="1630"/>
      <c r="BI207" s="1641">
        <v>0</v>
      </c>
    </row>
    <row customHeight="1" ht="14.25">
      <c r="A208" s="1369"/>
      <c r="B208" s="1369"/>
      <c r="C208" s="1369"/>
      <c r="D208" s="1369"/>
      <c r="E208" s="2265"/>
      <c r="F208" s="2265"/>
      <c r="G208" s="2265"/>
      <c r="H208" s="2265"/>
      <c r="I208" s="2292"/>
      <c r="J208" s="2292"/>
      <c r="K208" s="2262" t="str">
        <f>S204&amp;".1"</f>
        <v>.1.1</v>
      </c>
      <c r="L208" s="1375"/>
      <c r="M208" s="1782"/>
      <c r="N208" s="1782"/>
      <c r="O208" s="1782"/>
      <c r="P208" s="2380"/>
      <c r="Q208" s="2380"/>
      <c r="R208" s="2353">
        <v>1</v>
      </c>
      <c r="S208" s="2347" t="str">
        <f>$K208</f>
        <v>.1.1</v>
      </c>
      <c r="T208" s="2366"/>
      <c r="U208" s="306"/>
      <c r="V208" s="757"/>
      <c r="W208" s="1263"/>
      <c r="X208" s="757"/>
      <c r="Y208" s="1263"/>
      <c r="Z208" s="2608"/>
      <c r="AA208" s="2113" t="s">
        <v>62</v>
      </c>
      <c r="AB208" s="2608"/>
      <c r="AC208" s="2113" t="s">
        <v>62</v>
      </c>
      <c r="AD208" s="2191" t="s">
        <v>62</v>
      </c>
      <c r="AE208" s="2332"/>
      <c r="AF208" s="2443">
        <v>1</v>
      </c>
      <c r="AG208" s="2369"/>
      <c r="AH208" s="2113" t="s">
        <v>62</v>
      </c>
      <c r="AI208" s="2332"/>
      <c r="AJ208" s="2443">
        <v>1</v>
      </c>
      <c r="AK208" s="2333" t="s">
        <v>28</v>
      </c>
      <c r="AL208" s="2113" t="s">
        <v>62</v>
      </c>
      <c r="AM208" s="2300"/>
      <c r="AN208" s="2443">
        <v>1</v>
      </c>
      <c r="AO208" s="2683" t="s">
        <v>28</v>
      </c>
      <c r="AP208" s="2364" t="s">
        <v>62</v>
      </c>
      <c r="AQ208" s="689" t="s">
        <v>253</v>
      </c>
      <c r="AR208" s="2443" t="s">
        <v>112</v>
      </c>
      <c r="AS208" s="2582" t="s">
        <v>541</v>
      </c>
      <c r="AT208" s="757"/>
      <c r="AU208" s="1263"/>
      <c r="AV208" s="757"/>
      <c r="AW208" s="1263">
        <v>12645.96</v>
      </c>
      <c r="AX208" s="2608">
        <v>46023.61890046296</v>
      </c>
      <c r="AY208" s="2113" t="s">
        <v>62</v>
      </c>
      <c r="AZ208" s="2608">
        <v>46387.63490740741</v>
      </c>
      <c r="BA208" s="2113" t="s">
        <v>62</v>
      </c>
      <c r="BB208" s="1354"/>
      <c r="BC208" s="2259" t="s">
        <v>514</v>
      </c>
      <c r="BD208" s="1648"/>
      <c r="BE208" s="1630"/>
      <c r="BF208" s="1630" t="str">
        <f>IF(T208="","",T208)</f>
        <v/>
      </c>
      <c r="BG208" s="1630"/>
      <c r="BH208" s="1630"/>
      <c r="BI208" s="1641">
        <v>0</v>
      </c>
    </row>
    <row customHeight="1" ht="14.25">
      <c r="A209" s="1369"/>
      <c r="B209" s="1369"/>
      <c r="C209" s="1369"/>
      <c r="D209" s="1369"/>
      <c r="E209" s="2265"/>
      <c r="F209" s="2265"/>
      <c r="G209" s="2265"/>
      <c r="H209" s="2265"/>
      <c r="I209" s="2292"/>
      <c r="J209" s="2292"/>
      <c r="K209" s="2262"/>
      <c r="L209" s="1375"/>
      <c r="M209" s="1782"/>
      <c r="N209" s="1782"/>
      <c r="O209" s="1782"/>
      <c r="P209" s="2380"/>
      <c r="Q209" s="2380"/>
      <c r="R209" s="2353"/>
      <c r="S209" s="2348"/>
      <c r="T209" s="2367"/>
      <c r="U209" s="306"/>
      <c r="V209" s="4297"/>
      <c r="W209" s="4298"/>
      <c r="X209" s="4299"/>
      <c r="Y209" s="4300"/>
      <c r="Z209" s="4301"/>
      <c r="AA209" s="4302"/>
      <c r="AB209" s="4303"/>
      <c r="AC209" s="4304"/>
      <c r="AD209" s="2192"/>
      <c r="AE209" s="2332"/>
      <c r="AF209" s="2443"/>
      <c r="AG209" s="2369"/>
      <c r="AH209" s="2113"/>
      <c r="AI209" s="2332"/>
      <c r="AJ209" s="2443" t="s">
        <v>91</v>
      </c>
      <c r="AK209" s="2333"/>
      <c r="AL209" s="2113"/>
      <c r="AM209" s="2301"/>
      <c r="AN209" s="2443"/>
      <c r="AO209" s="2683" t="s">
        <v>28</v>
      </c>
      <c r="AP209" s="2365"/>
      <c r="AQ209" s="4305"/>
      <c r="AR209" s="4306"/>
      <c r="AS209" s="4307" t="s">
        <v>515</v>
      </c>
      <c r="AT209" s="4308"/>
      <c r="AU209" s="4309"/>
      <c r="AV209" s="4310"/>
      <c r="AW209" s="4311"/>
      <c r="AX209" s="4312"/>
      <c r="AY209" s="4313"/>
      <c r="AZ209" s="4314"/>
      <c r="BA209" s="4315"/>
      <c r="BB209" s="4316"/>
      <c r="BC209" s="2260"/>
      <c r="BD209" s="1648"/>
      <c r="BE209" s="1630"/>
      <c r="BF209" s="1630"/>
      <c r="BG209" s="1630"/>
      <c r="BH209" s="1630"/>
      <c r="BI209" s="1641">
        <v>0</v>
      </c>
    </row>
    <row customHeight="1" ht="14.25">
      <c r="A210" s="1369"/>
      <c r="B210" s="1369"/>
      <c r="C210" s="1369"/>
      <c r="D210" s="1369"/>
      <c r="E210" s="2265"/>
      <c r="F210" s="2265"/>
      <c r="G210" s="2265"/>
      <c r="H210" s="2265"/>
      <c r="I210" s="2292"/>
      <c r="J210" s="2292"/>
      <c r="K210" s="2262"/>
      <c r="L210" s="1375"/>
      <c r="M210" s="1782"/>
      <c r="N210" s="1782"/>
      <c r="O210" s="1782"/>
      <c r="P210" s="2380"/>
      <c r="Q210" s="2380"/>
      <c r="R210" s="2353"/>
      <c r="S210" s="2348"/>
      <c r="T210" s="2367"/>
      <c r="U210" s="306"/>
      <c r="V210" s="4317"/>
      <c r="W210" s="4318"/>
      <c r="X210" s="4319"/>
      <c r="Y210" s="4320"/>
      <c r="Z210" s="4321"/>
      <c r="AA210" s="4322"/>
      <c r="AB210" s="4323"/>
      <c r="AC210" s="4324"/>
      <c r="AD210" s="2192"/>
      <c r="AE210" s="2332"/>
      <c r="AF210" s="2443"/>
      <c r="AG210" s="2369"/>
      <c r="AH210" s="2113"/>
      <c r="AI210" s="2332"/>
      <c r="AJ210" s="2443" t="s">
        <v>91</v>
      </c>
      <c r="AK210" s="2333"/>
      <c r="AL210" s="2113"/>
      <c r="AM210" s="4325"/>
      <c r="AN210" s="4326"/>
      <c r="AO210" s="4327" t="s">
        <v>516</v>
      </c>
      <c r="AP210" s="4328"/>
      <c r="AQ210" s="4329"/>
      <c r="AR210" s="4330"/>
      <c r="AS210" s="4331"/>
      <c r="AT210" s="4332"/>
      <c r="AU210" s="4333"/>
      <c r="AV210" s="4334"/>
      <c r="AW210" s="4335"/>
      <c r="AX210" s="4336"/>
      <c r="AY210" s="4337"/>
      <c r="AZ210" s="4338"/>
      <c r="BA210" s="4339"/>
      <c r="BB210" s="4340"/>
      <c r="BC210" s="2260"/>
      <c r="BD210" s="1648"/>
      <c r="BE210" s="1630"/>
      <c r="BF210" s="1630"/>
      <c r="BG210" s="1630"/>
      <c r="BH210" s="1630"/>
      <c r="BI210" s="1641">
        <v>0</v>
      </c>
    </row>
    <row customHeight="1" ht="14.25">
      <c r="A211" s="1369"/>
      <c r="B211" s="1369"/>
      <c r="C211" s="1369"/>
      <c r="D211" s="1369"/>
      <c r="E211" s="2265"/>
      <c r="F211" s="2265"/>
      <c r="G211" s="2265"/>
      <c r="H211" s="2265"/>
      <c r="I211" s="2292"/>
      <c r="J211" s="2292"/>
      <c r="K211" s="2262" t="str">
        <f>S207&amp;".1"</f>
        <v>.1.1.1</v>
      </c>
      <c r="L211" s="1375"/>
      <c r="M211" s="1782"/>
      <c r="N211" s="1782"/>
      <c r="O211" s="1782"/>
      <c r="P211" s="2380"/>
      <c r="Q211" s="2380"/>
      <c r="R211" s="2353">
        <v>1</v>
      </c>
      <c r="S211" s="2347" t="str">
        <f>$K211</f>
        <v>.1.1.1</v>
      </c>
      <c r="T211" s="2366"/>
      <c r="U211" s="306"/>
      <c r="V211" s="757"/>
      <c r="W211" s="1263"/>
      <c r="X211" s="757"/>
      <c r="Y211" s="1263"/>
      <c r="Z211" s="2608"/>
      <c r="AA211" s="2113" t="s">
        <v>62</v>
      </c>
      <c r="AB211" s="2608"/>
      <c r="AC211" s="2113" t="s">
        <v>62</v>
      </c>
      <c r="AD211" s="2191" t="s">
        <v>62</v>
      </c>
      <c r="AE211" s="2332"/>
      <c r="AF211" s="2443">
        <v>1</v>
      </c>
      <c r="AG211" s="2369"/>
      <c r="AH211" s="2113" t="s">
        <v>62</v>
      </c>
      <c r="AI211" s="689" t="s">
        <v>253</v>
      </c>
      <c r="AJ211" s="2443" t="s">
        <v>113</v>
      </c>
      <c r="AK211" s="2333" t="s">
        <v>537</v>
      </c>
      <c r="AL211" s="2113" t="s">
        <v>19</v>
      </c>
      <c r="AM211" s="2300"/>
      <c r="AN211" s="2443">
        <v>1</v>
      </c>
      <c r="AO211" s="2683" t="s">
        <v>28</v>
      </c>
      <c r="AP211" s="2364" t="s">
        <v>62</v>
      </c>
      <c r="AQ211" s="317"/>
      <c r="AR211" s="2443">
        <v>1</v>
      </c>
      <c r="AS211" s="2582" t="s">
        <v>541</v>
      </c>
      <c r="AT211" s="757"/>
      <c r="AU211" s="1263"/>
      <c r="AV211" s="757"/>
      <c r="AW211" s="1263">
        <v>12168.65</v>
      </c>
      <c r="AX211" s="2608">
        <v>46023.618935185186</v>
      </c>
      <c r="AY211" s="2113" t="s">
        <v>62</v>
      </c>
      <c r="AZ211" s="2608">
        <v>46387.63497685185</v>
      </c>
      <c r="BA211" s="2113" t="s">
        <v>62</v>
      </c>
      <c r="BB211" s="1354"/>
      <c r="BC211" s="2259" t="s">
        <v>514</v>
      </c>
      <c r="BD211" s="1648"/>
      <c r="BE211" s="1630"/>
      <c r="BF211" s="1630" t="str">
        <f>IF(T211="","",T211)</f>
        <v/>
      </c>
      <c r="BG211" s="1630"/>
      <c r="BH211" s="1630"/>
      <c r="BI211" s="1641">
        <v>0</v>
      </c>
    </row>
    <row customHeight="1" ht="14.25">
      <c r="A212" s="1369"/>
      <c r="B212" s="1369"/>
      <c r="C212" s="1369"/>
      <c r="D212" s="1369"/>
      <c r="E212" s="2265"/>
      <c r="F212" s="2265"/>
      <c r="G212" s="2265"/>
      <c r="H212" s="2265"/>
      <c r="I212" s="2292"/>
      <c r="J212" s="2292"/>
      <c r="K212" s="2262" t="str">
        <f>S208&amp;".1"</f>
        <v>.1.1.1</v>
      </c>
      <c r="L212" s="1375"/>
      <c r="M212" s="1782"/>
      <c r="N212" s="1782"/>
      <c r="O212" s="1782"/>
      <c r="P212" s="2380"/>
      <c r="Q212" s="2380"/>
      <c r="R212" s="2353">
        <v>1</v>
      </c>
      <c r="S212" s="2347" t="str">
        <f>$K212</f>
        <v>.1.1.1</v>
      </c>
      <c r="T212" s="2366"/>
      <c r="U212" s="306"/>
      <c r="V212" s="757"/>
      <c r="W212" s="1263"/>
      <c r="X212" s="757"/>
      <c r="Y212" s="1263"/>
      <c r="Z212" s="2608"/>
      <c r="AA212" s="2113" t="s">
        <v>62</v>
      </c>
      <c r="AB212" s="2608"/>
      <c r="AC212" s="2113" t="s">
        <v>62</v>
      </c>
      <c r="AD212" s="2191" t="s">
        <v>62</v>
      </c>
      <c r="AE212" s="2332"/>
      <c r="AF212" s="2443">
        <v>1</v>
      </c>
      <c r="AG212" s="2369"/>
      <c r="AH212" s="2113" t="s">
        <v>62</v>
      </c>
      <c r="AI212" s="2332"/>
      <c r="AJ212" s="2443">
        <v>1</v>
      </c>
      <c r="AK212" s="2333" t="s">
        <v>28</v>
      </c>
      <c r="AL212" s="2113" t="s">
        <v>62</v>
      </c>
      <c r="AM212" s="2300"/>
      <c r="AN212" s="2443">
        <v>1</v>
      </c>
      <c r="AO212" s="2683" t="s">
        <v>28</v>
      </c>
      <c r="AP212" s="2364" t="s">
        <v>62</v>
      </c>
      <c r="AQ212" s="689" t="s">
        <v>253</v>
      </c>
      <c r="AR212" s="2443" t="s">
        <v>112</v>
      </c>
      <c r="AS212" s="2582" t="s">
        <v>541</v>
      </c>
      <c r="AT212" s="757"/>
      <c r="AU212" s="1263"/>
      <c r="AV212" s="757"/>
      <c r="AW212" s="1263">
        <v>15101.35</v>
      </c>
      <c r="AX212" s="2608">
        <v>46023.61895833333</v>
      </c>
      <c r="AY212" s="2113" t="s">
        <v>62</v>
      </c>
      <c r="AZ212" s="2608">
        <v>46387.63506944444</v>
      </c>
      <c r="BA212" s="2113" t="s">
        <v>62</v>
      </c>
      <c r="BB212" s="1354"/>
      <c r="BC212" s="2259" t="s">
        <v>514</v>
      </c>
      <c r="BD212" s="1648"/>
      <c r="BE212" s="1630"/>
      <c r="BF212" s="1630" t="str">
        <f>IF(T212="","",T212)</f>
        <v/>
      </c>
      <c r="BG212" s="1630"/>
      <c r="BH212" s="1630"/>
      <c r="BI212" s="1641">
        <v>0</v>
      </c>
    </row>
    <row customHeight="1" ht="14.25">
      <c r="A213" s="1369"/>
      <c r="B213" s="1369"/>
      <c r="C213" s="1369"/>
      <c r="D213" s="1369"/>
      <c r="E213" s="2265"/>
      <c r="F213" s="2265"/>
      <c r="G213" s="2265"/>
      <c r="H213" s="2265"/>
      <c r="I213" s="2292"/>
      <c r="J213" s="2292"/>
      <c r="K213" s="2262"/>
      <c r="L213" s="1375"/>
      <c r="M213" s="1782"/>
      <c r="N213" s="1782"/>
      <c r="O213" s="1782"/>
      <c r="P213" s="2380"/>
      <c r="Q213" s="2380"/>
      <c r="R213" s="2353"/>
      <c r="S213" s="2348"/>
      <c r="T213" s="2367"/>
      <c r="U213" s="306"/>
      <c r="V213" s="4341"/>
      <c r="W213" s="4342"/>
      <c r="X213" s="4343"/>
      <c r="Y213" s="4344"/>
      <c r="Z213" s="4345"/>
      <c r="AA213" s="4346"/>
      <c r="AB213" s="4347"/>
      <c r="AC213" s="4348"/>
      <c r="AD213" s="2192"/>
      <c r="AE213" s="2332"/>
      <c r="AF213" s="2443"/>
      <c r="AG213" s="2369"/>
      <c r="AH213" s="2113"/>
      <c r="AI213" s="2332"/>
      <c r="AJ213" s="2443" t="s">
        <v>92</v>
      </c>
      <c r="AK213" s="2333"/>
      <c r="AL213" s="2113"/>
      <c r="AM213" s="2301"/>
      <c r="AN213" s="2443"/>
      <c r="AO213" s="2683" t="s">
        <v>28</v>
      </c>
      <c r="AP213" s="2365"/>
      <c r="AQ213" s="4349"/>
      <c r="AR213" s="4350"/>
      <c r="AS213" s="4351" t="s">
        <v>515</v>
      </c>
      <c r="AT213" s="4352"/>
      <c r="AU213" s="4353"/>
      <c r="AV213" s="4354"/>
      <c r="AW213" s="4355"/>
      <c r="AX213" s="4356"/>
      <c r="AY213" s="4357"/>
      <c r="AZ213" s="4358"/>
      <c r="BA213" s="4359"/>
      <c r="BB213" s="4360"/>
      <c r="BC213" s="2260"/>
      <c r="BD213" s="1648"/>
      <c r="BE213" s="1630"/>
      <c r="BF213" s="1630"/>
      <c r="BG213" s="1630"/>
      <c r="BH213" s="1630"/>
      <c r="BI213" s="1641">
        <v>0</v>
      </c>
    </row>
    <row customHeight="1" ht="14.25">
      <c r="A214" s="1369"/>
      <c r="B214" s="1369"/>
      <c r="C214" s="1369"/>
      <c r="D214" s="1369"/>
      <c r="E214" s="2265"/>
      <c r="F214" s="2265"/>
      <c r="G214" s="2265"/>
      <c r="H214" s="2265"/>
      <c r="I214" s="2292"/>
      <c r="J214" s="2292"/>
      <c r="K214" s="2262"/>
      <c r="L214" s="1375"/>
      <c r="M214" s="1782"/>
      <c r="N214" s="1782"/>
      <c r="O214" s="1782"/>
      <c r="P214" s="2380"/>
      <c r="Q214" s="2380"/>
      <c r="R214" s="2353"/>
      <c r="S214" s="2348"/>
      <c r="T214" s="2367"/>
      <c r="U214" s="306"/>
      <c r="V214" s="4361"/>
      <c r="W214" s="4362"/>
      <c r="X214" s="4363"/>
      <c r="Y214" s="4364"/>
      <c r="Z214" s="4365"/>
      <c r="AA214" s="4366"/>
      <c r="AB214" s="4367"/>
      <c r="AC214" s="4368"/>
      <c r="AD214" s="2192"/>
      <c r="AE214" s="2332"/>
      <c r="AF214" s="2443"/>
      <c r="AG214" s="2369"/>
      <c r="AH214" s="2113"/>
      <c r="AI214" s="2332"/>
      <c r="AJ214" s="2443" t="s">
        <v>92</v>
      </c>
      <c r="AK214" s="2333"/>
      <c r="AL214" s="2113"/>
      <c r="AM214" s="4369"/>
      <c r="AN214" s="4370"/>
      <c r="AO214" s="4371" t="s">
        <v>516</v>
      </c>
      <c r="AP214" s="4372"/>
      <c r="AQ214" s="4373"/>
      <c r="AR214" s="4374"/>
      <c r="AS214" s="4375"/>
      <c r="AT214" s="4376"/>
      <c r="AU214" s="4377"/>
      <c r="AV214" s="4378"/>
      <c r="AW214" s="4379"/>
      <c r="AX214" s="4380"/>
      <c r="AY214" s="4381"/>
      <c r="AZ214" s="4382"/>
      <c r="BA214" s="4383"/>
      <c r="BB214" s="4384"/>
      <c r="BC214" s="2260"/>
      <c r="BD214" s="1648"/>
      <c r="BE214" s="1630"/>
      <c r="BF214" s="1630"/>
      <c r="BG214" s="1630"/>
      <c r="BH214" s="1630"/>
      <c r="BI214" s="1641">
        <v>0</v>
      </c>
    </row>
    <row customHeight="1" ht="14.25">
      <c r="A215" s="1369"/>
      <c r="B215" s="1369"/>
      <c r="C215" s="1369"/>
      <c r="D215" s="1369"/>
      <c r="E215" s="2265"/>
      <c r="F215" s="2265"/>
      <c r="G215" s="2265"/>
      <c r="H215" s="2265"/>
      <c r="I215" s="2292"/>
      <c r="J215" s="2292"/>
      <c r="K215" s="2262" t="str">
        <f>S65&amp;".4"</f>
        <v>2.1.1.4</v>
      </c>
      <c r="L215" s="1375"/>
      <c r="M215" s="1782"/>
      <c r="N215" s="1782"/>
      <c r="O215" s="1782"/>
      <c r="P215" s="2380"/>
      <c r="Q215" s="2380"/>
      <c r="R215" s="2353"/>
      <c r="S215" s="2348"/>
      <c r="T215" s="2367"/>
      <c r="U215" s="306"/>
      <c r="V215" s="4385"/>
      <c r="W215" s="4386"/>
      <c r="X215" s="4387"/>
      <c r="Y215" s="4388"/>
      <c r="Z215" s="4389"/>
      <c r="AA215" s="4390"/>
      <c r="AB215" s="4391"/>
      <c r="AC215" s="4392"/>
      <c r="AD215" s="2192"/>
      <c r="AE215" s="2332"/>
      <c r="AF215" s="2443"/>
      <c r="AG215" s="2682" t="s">
        <v>28</v>
      </c>
      <c r="AH215" s="2113"/>
      <c r="AI215" s="4393"/>
      <c r="AJ215" s="4394"/>
      <c r="AK215" s="4395" t="s">
        <v>517</v>
      </c>
      <c r="AL215" s="4396"/>
      <c r="AM215" s="4397"/>
      <c r="AN215" s="4398"/>
      <c r="AO215" s="4399"/>
      <c r="AP215" s="4400"/>
      <c r="AQ215" s="4401"/>
      <c r="AR215" s="4402"/>
      <c r="AS215" s="4403"/>
      <c r="AT215" s="4404"/>
      <c r="AU215" s="4405"/>
      <c r="AV215" s="4406"/>
      <c r="AW215" s="4407"/>
      <c r="AX215" s="4408"/>
      <c r="AY215" s="4409"/>
      <c r="AZ215" s="4410"/>
      <c r="BA215" s="4411"/>
      <c r="BB215" s="4412"/>
      <c r="BC215" s="2260"/>
      <c r="BD215" s="1648"/>
      <c r="BE215" s="1630"/>
      <c r="BF215" s="1630"/>
      <c r="BG215" s="1630"/>
      <c r="BH215" s="1630"/>
      <c r="BI215" s="1641">
        <v>0</v>
      </c>
    </row>
    <row customHeight="1" ht="14.25">
      <c r="A216" s="1369"/>
      <c r="B216" s="1369"/>
      <c r="C216" s="1369"/>
      <c r="D216" s="1369"/>
      <c r="E216" s="2265"/>
      <c r="F216" s="2265"/>
      <c r="G216" s="2265"/>
      <c r="H216" s="2265"/>
      <c r="I216" s="2292"/>
      <c r="J216" s="2292"/>
      <c r="K216" s="2262" t="str">
        <f>S65&amp;".4"</f>
        <v>2.1.1.4</v>
      </c>
      <c r="L216" s="1375"/>
      <c r="M216" s="1782"/>
      <c r="N216" s="1782"/>
      <c r="O216" s="1782"/>
      <c r="P216" s="2380"/>
      <c r="Q216" s="2380"/>
      <c r="R216" s="2353"/>
      <c r="S216" s="2349"/>
      <c r="T216" s="2368"/>
      <c r="U216" s="306"/>
      <c r="V216" s="4413"/>
      <c r="W216" s="4414" t="str">
        <f>Z191&amp;"-"&amp;AB191</f>
        <v>-</v>
      </c>
      <c r="X216" s="4415"/>
      <c r="Y216" s="4416" t="str">
        <f>AB191&amp;"-"&amp;AD191</f>
        <v>-нет</v>
      </c>
      <c r="Z216" s="4417"/>
      <c r="AA216" s="4418"/>
      <c r="AB216" s="4419"/>
      <c r="AC216" s="4420"/>
      <c r="AD216" s="2118"/>
      <c r="AE216" s="4421"/>
      <c r="AF216" s="4422"/>
      <c r="AG216" s="4423" t="s">
        <v>518</v>
      </c>
      <c r="AH216" s="4424"/>
      <c r="AI216" s="4425"/>
      <c r="AJ216" s="4426"/>
      <c r="AK216" s="4427"/>
      <c r="AL216" s="4428"/>
      <c r="AM216" s="4429"/>
      <c r="AN216" s="4430"/>
      <c r="AO216" s="4431"/>
      <c r="AP216" s="4432"/>
      <c r="AQ216" s="4433"/>
      <c r="AR216" s="4434"/>
      <c r="AS216" s="4435"/>
      <c r="AT216" s="4436"/>
      <c r="AU216" s="4437" t="str">
        <f>AX191&amp;"-"&amp;AZ191</f>
        <v>46023.61844907407-46387.633888888886</v>
      </c>
      <c r="AV216" s="4438"/>
      <c r="AW216" s="4439" t="str">
        <f>AZ191&amp;"-"&amp;BB191</f>
        <v>46387.633888888886-</v>
      </c>
      <c r="AX216" s="4440"/>
      <c r="AY216" s="4441"/>
      <c r="AZ216" s="4442"/>
      <c r="BA216" s="4443"/>
      <c r="BB216" s="4444" t="str">
        <f>BE191&amp;"-"&amp;BG191</f>
        <v>-</v>
      </c>
      <c r="BC216" s="2260"/>
      <c r="BD216" s="1648"/>
      <c r="BE216" s="1630"/>
      <c r="BF216" s="1630" t="str">
        <f>IF(T216="","",T216)</f>
        <v/>
      </c>
      <c r="BG216" s="1630"/>
      <c r="BH216" s="1630"/>
      <c r="BI216" s="1641">
        <v>0</v>
      </c>
    </row>
    <row customHeight="1" ht="14.25">
      <c r="A217" s="1369"/>
      <c r="B217" s="1369"/>
      <c r="C217" s="1369"/>
      <c r="D217" s="1369"/>
      <c r="E217" s="2265"/>
      <c r="F217" s="2265"/>
      <c r="G217" s="2265"/>
      <c r="H217" s="2265"/>
      <c r="I217" s="2292"/>
      <c r="J217" s="2292"/>
      <c r="K217" s="2262" t="str">
        <f>S65&amp;".6"</f>
        <v>2.1.1.6</v>
      </c>
      <c r="L217" s="1375"/>
      <c r="M217" s="1782"/>
      <c r="N217" s="1782"/>
      <c r="O217" s="1782"/>
      <c r="P217" s="2380"/>
      <c r="Q217" s="2380"/>
      <c r="R217" s="689" t="s">
        <v>253</v>
      </c>
      <c r="S217" s="2347" t="str">
        <f>$K217</f>
        <v>2.1.1.6</v>
      </c>
      <c r="T217" s="2366" t="s">
        <v>543</v>
      </c>
      <c r="U217" s="306"/>
      <c r="V217" s="757"/>
      <c r="W217" s="1263"/>
      <c r="X217" s="757"/>
      <c r="Y217" s="1263"/>
      <c r="Z217" s="2608"/>
      <c r="AA217" s="2113" t="s">
        <v>62</v>
      </c>
      <c r="AB217" s="2608"/>
      <c r="AC217" s="2113" t="s">
        <v>62</v>
      </c>
      <c r="AD217" s="2191" t="s">
        <v>19</v>
      </c>
      <c r="AE217" s="2332"/>
      <c r="AF217" s="2443">
        <v>1</v>
      </c>
      <c r="AG217" s="2682" t="s">
        <v>28</v>
      </c>
      <c r="AH217" s="2113" t="s">
        <v>62</v>
      </c>
      <c r="AI217" s="2332"/>
      <c r="AJ217" s="2443">
        <v>1</v>
      </c>
      <c r="AK217" s="2333" t="s">
        <v>533</v>
      </c>
      <c r="AL217" s="2113" t="s">
        <v>19</v>
      </c>
      <c r="AM217" s="2300"/>
      <c r="AN217" s="2443">
        <v>1</v>
      </c>
      <c r="AO217" s="2683" t="s">
        <v>28</v>
      </c>
      <c r="AP217" s="2364" t="s">
        <v>62</v>
      </c>
      <c r="AQ217" s="317"/>
      <c r="AR217" s="2443">
        <v>1</v>
      </c>
      <c r="AS217" s="2582" t="s">
        <v>541</v>
      </c>
      <c r="AT217" s="757"/>
      <c r="AU217" s="1263"/>
      <c r="AV217" s="757"/>
      <c r="AW217" s="1263">
        <v>2082.73</v>
      </c>
      <c r="AX217" s="2608">
        <v>46023.6190162037</v>
      </c>
      <c r="AY217" s="2113" t="s">
        <v>62</v>
      </c>
      <c r="AZ217" s="2608">
        <v>46387.635150462964</v>
      </c>
      <c r="BA217" s="2113" t="s">
        <v>62</v>
      </c>
      <c r="BB217" s="1354"/>
      <c r="BC217" s="2259" t="s">
        <v>514</v>
      </c>
      <c r="BD217" s="1648"/>
      <c r="BE217" s="1630"/>
      <c r="BF217" s="1630" t="str">
        <f>IF(T217="","",T217)</f>
        <v>Наружные инженерные водоводы, разработка грунта с погрузкой в автотранспорт, трубы полиэтиленовые диаметром:</v>
      </c>
      <c r="BG217" s="1630"/>
      <c r="BH217" s="1630"/>
      <c r="BI217" s="1641">
        <v>0</v>
      </c>
    </row>
    <row customHeight="1" ht="14.25">
      <c r="A218" s="1369"/>
      <c r="B218" s="1369"/>
      <c r="C218" s="1369"/>
      <c r="D218" s="1369"/>
      <c r="E218" s="2265"/>
      <c r="F218" s="2265"/>
      <c r="G218" s="2265"/>
      <c r="H218" s="2265"/>
      <c r="I218" s="2292"/>
      <c r="J218" s="2292"/>
      <c r="K218" s="2262" t="str">
        <f>S214&amp;".1"</f>
        <v>.1</v>
      </c>
      <c r="L218" s="1375"/>
      <c r="M218" s="1782"/>
      <c r="N218" s="1782"/>
      <c r="O218" s="1782"/>
      <c r="P218" s="2380"/>
      <c r="Q218" s="2380"/>
      <c r="R218" s="2353">
        <v>1</v>
      </c>
      <c r="S218" s="2347" t="str">
        <f>$K218</f>
        <v>.1</v>
      </c>
      <c r="T218" s="2366"/>
      <c r="U218" s="306"/>
      <c r="V218" s="757"/>
      <c r="W218" s="1263"/>
      <c r="X218" s="757"/>
      <c r="Y218" s="1263"/>
      <c r="Z218" s="2608"/>
      <c r="AA218" s="2113" t="s">
        <v>62</v>
      </c>
      <c r="AB218" s="2608"/>
      <c r="AC218" s="2113" t="s">
        <v>62</v>
      </c>
      <c r="AD218" s="2191" t="s">
        <v>62</v>
      </c>
      <c r="AE218" s="2332"/>
      <c r="AF218" s="2443">
        <v>1</v>
      </c>
      <c r="AG218" s="2369"/>
      <c r="AH218" s="2113" t="s">
        <v>62</v>
      </c>
      <c r="AI218" s="2332"/>
      <c r="AJ218" s="2443">
        <v>1</v>
      </c>
      <c r="AK218" s="2333" t="s">
        <v>28</v>
      </c>
      <c r="AL218" s="2113" t="s">
        <v>62</v>
      </c>
      <c r="AM218" s="2300"/>
      <c r="AN218" s="2443">
        <v>1</v>
      </c>
      <c r="AO218" s="2683" t="s">
        <v>28</v>
      </c>
      <c r="AP218" s="2364" t="s">
        <v>62</v>
      </c>
      <c r="AQ218" s="689" t="s">
        <v>253</v>
      </c>
      <c r="AR218" s="2443" t="s">
        <v>112</v>
      </c>
      <c r="AS218" s="2582" t="s">
        <v>541</v>
      </c>
      <c r="AT218" s="757"/>
      <c r="AU218" s="1263"/>
      <c r="AV218" s="757"/>
      <c r="AW218" s="1263">
        <v>3043.72</v>
      </c>
      <c r="AX218" s="2608">
        <v>46023.619050925925</v>
      </c>
      <c r="AY218" s="2113" t="s">
        <v>62</v>
      </c>
      <c r="AZ218" s="2608">
        <v>46387.6352662037</v>
      </c>
      <c r="BA218" s="2113" t="s">
        <v>62</v>
      </c>
      <c r="BB218" s="1354"/>
      <c r="BC218" s="2259" t="s">
        <v>514</v>
      </c>
      <c r="BD218" s="1648"/>
      <c r="BE218" s="1630"/>
      <c r="BF218" s="1630" t="str">
        <f>IF(T218="","",T218)</f>
        <v/>
      </c>
      <c r="BG218" s="1630"/>
      <c r="BH218" s="1630"/>
      <c r="BI218" s="1641">
        <v>0</v>
      </c>
    </row>
    <row customHeight="1" ht="14.25">
      <c r="A219" s="1369"/>
      <c r="B219" s="1369"/>
      <c r="C219" s="1369"/>
      <c r="D219" s="1369"/>
      <c r="E219" s="2265"/>
      <c r="F219" s="2265"/>
      <c r="G219" s="2265"/>
      <c r="H219" s="2265"/>
      <c r="I219" s="2292"/>
      <c r="J219" s="2292"/>
      <c r="K219" s="2262" t="str">
        <f>S215&amp;".1"</f>
        <v>.1</v>
      </c>
      <c r="L219" s="1375"/>
      <c r="M219" s="1782"/>
      <c r="N219" s="1782"/>
      <c r="O219" s="1782"/>
      <c r="P219" s="2380"/>
      <c r="Q219" s="2380"/>
      <c r="R219" s="2353">
        <v>1</v>
      </c>
      <c r="S219" s="2347" t="str">
        <f>$K219</f>
        <v>.1</v>
      </c>
      <c r="T219" s="2366"/>
      <c r="U219" s="306"/>
      <c r="V219" s="757"/>
      <c r="W219" s="1263"/>
      <c r="X219" s="757"/>
      <c r="Y219" s="1263"/>
      <c r="Z219" s="2608"/>
      <c r="AA219" s="2113" t="s">
        <v>62</v>
      </c>
      <c r="AB219" s="2608"/>
      <c r="AC219" s="2113" t="s">
        <v>62</v>
      </c>
      <c r="AD219" s="2191" t="s">
        <v>62</v>
      </c>
      <c r="AE219" s="2332"/>
      <c r="AF219" s="2443">
        <v>1</v>
      </c>
      <c r="AG219" s="2369"/>
      <c r="AH219" s="2113" t="s">
        <v>62</v>
      </c>
      <c r="AI219" s="2332"/>
      <c r="AJ219" s="2443">
        <v>1</v>
      </c>
      <c r="AK219" s="2333" t="s">
        <v>28</v>
      </c>
      <c r="AL219" s="2113" t="s">
        <v>62</v>
      </c>
      <c r="AM219" s="2300"/>
      <c r="AN219" s="2443">
        <v>1</v>
      </c>
      <c r="AO219" s="2683" t="s">
        <v>28</v>
      </c>
      <c r="AP219" s="2364" t="s">
        <v>62</v>
      </c>
      <c r="AQ219" s="689" t="s">
        <v>253</v>
      </c>
      <c r="AR219" s="2443" t="s">
        <v>91</v>
      </c>
      <c r="AS219" s="2582" t="s">
        <v>541</v>
      </c>
      <c r="AT219" s="757"/>
      <c r="AU219" s="1263"/>
      <c r="AV219" s="757"/>
      <c r="AW219" s="1263">
        <v>2956.15</v>
      </c>
      <c r="AX219" s="2608">
        <v>46023.61907407407</v>
      </c>
      <c r="AY219" s="2113" t="s">
        <v>62</v>
      </c>
      <c r="AZ219" s="2608">
        <v>46387.635358796295</v>
      </c>
      <c r="BA219" s="2113" t="s">
        <v>62</v>
      </c>
      <c r="BB219" s="1354"/>
      <c r="BC219" s="2259" t="s">
        <v>514</v>
      </c>
      <c r="BD219" s="1648"/>
      <c r="BE219" s="1630"/>
      <c r="BF219" s="1630" t="str">
        <f>IF(T219="","",T219)</f>
        <v/>
      </c>
      <c r="BG219" s="1630"/>
      <c r="BH219" s="1630"/>
      <c r="BI219" s="1641">
        <v>0</v>
      </c>
    </row>
    <row customHeight="1" ht="14.25">
      <c r="A220" s="1369"/>
      <c r="B220" s="1369"/>
      <c r="C220" s="1369"/>
      <c r="D220" s="1369"/>
      <c r="E220" s="2265"/>
      <c r="F220" s="2265"/>
      <c r="G220" s="2265"/>
      <c r="H220" s="2265"/>
      <c r="I220" s="2292"/>
      <c r="J220" s="2292"/>
      <c r="K220" s="2262" t="str">
        <f>S216&amp;".1"</f>
        <v>.1</v>
      </c>
      <c r="L220" s="1375"/>
      <c r="M220" s="1782"/>
      <c r="N220" s="1782"/>
      <c r="O220" s="1782"/>
      <c r="P220" s="2380"/>
      <c r="Q220" s="2380"/>
      <c r="R220" s="2353">
        <v>1</v>
      </c>
      <c r="S220" s="2347" t="str">
        <f>$K220</f>
        <v>.1</v>
      </c>
      <c r="T220" s="2366"/>
      <c r="U220" s="306"/>
      <c r="V220" s="757"/>
      <c r="W220" s="1263"/>
      <c r="X220" s="757"/>
      <c r="Y220" s="1263"/>
      <c r="Z220" s="2608"/>
      <c r="AA220" s="2113" t="s">
        <v>62</v>
      </c>
      <c r="AB220" s="2608"/>
      <c r="AC220" s="2113" t="s">
        <v>62</v>
      </c>
      <c r="AD220" s="2191" t="s">
        <v>62</v>
      </c>
      <c r="AE220" s="2332"/>
      <c r="AF220" s="2443">
        <v>1</v>
      </c>
      <c r="AG220" s="2369"/>
      <c r="AH220" s="2113" t="s">
        <v>62</v>
      </c>
      <c r="AI220" s="2332"/>
      <c r="AJ220" s="2443">
        <v>1</v>
      </c>
      <c r="AK220" s="2333" t="s">
        <v>28</v>
      </c>
      <c r="AL220" s="2113" t="s">
        <v>62</v>
      </c>
      <c r="AM220" s="2300"/>
      <c r="AN220" s="2443">
        <v>1</v>
      </c>
      <c r="AO220" s="2683" t="s">
        <v>28</v>
      </c>
      <c r="AP220" s="2364" t="s">
        <v>62</v>
      </c>
      <c r="AQ220" s="689" t="s">
        <v>253</v>
      </c>
      <c r="AR220" s="2443" t="s">
        <v>92</v>
      </c>
      <c r="AS220" s="2582" t="s">
        <v>541</v>
      </c>
      <c r="AT220" s="757"/>
      <c r="AU220" s="1263"/>
      <c r="AV220" s="757"/>
      <c r="AW220" s="1263">
        <v>4320.15</v>
      </c>
      <c r="AX220" s="2608">
        <v>46023.619108796294</v>
      </c>
      <c r="AY220" s="2113" t="s">
        <v>62</v>
      </c>
      <c r="AZ220" s="2608">
        <v>46387.63543981482</v>
      </c>
      <c r="BA220" s="2113" t="s">
        <v>62</v>
      </c>
      <c r="BB220" s="1354"/>
      <c r="BC220" s="2259" t="s">
        <v>514</v>
      </c>
      <c r="BD220" s="1648"/>
      <c r="BE220" s="1630"/>
      <c r="BF220" s="1630" t="str">
        <f>IF(T220="","",T220)</f>
        <v/>
      </c>
      <c r="BG220" s="1630"/>
      <c r="BH220" s="1630"/>
      <c r="BI220" s="1641">
        <v>0</v>
      </c>
    </row>
    <row customHeight="1" ht="14.25">
      <c r="A221" s="1369"/>
      <c r="B221" s="1369"/>
      <c r="C221" s="1369"/>
      <c r="D221" s="1369"/>
      <c r="E221" s="2265"/>
      <c r="F221" s="2265"/>
      <c r="G221" s="2265"/>
      <c r="H221" s="2265"/>
      <c r="I221" s="2292"/>
      <c r="J221" s="2292"/>
      <c r="K221" s="2262" t="str">
        <f>S65&amp;".5"</f>
        <v>2.1.1.5</v>
      </c>
      <c r="L221" s="1375"/>
      <c r="M221" s="1782"/>
      <c r="N221" s="1782"/>
      <c r="O221" s="1782"/>
      <c r="P221" s="2380"/>
      <c r="Q221" s="2380"/>
      <c r="R221" s="2353"/>
      <c r="S221" s="2348"/>
      <c r="T221" s="2367"/>
      <c r="U221" s="306"/>
      <c r="V221" s="4445"/>
      <c r="W221" s="4446"/>
      <c r="X221" s="4447"/>
      <c r="Y221" s="4448"/>
      <c r="Z221" s="4449"/>
      <c r="AA221" s="4450"/>
      <c r="AB221" s="4451"/>
      <c r="AC221" s="4452"/>
      <c r="AD221" s="2192"/>
      <c r="AE221" s="2332"/>
      <c r="AF221" s="2443"/>
      <c r="AG221" s="2682" t="s">
        <v>28</v>
      </c>
      <c r="AH221" s="2113"/>
      <c r="AI221" s="2332"/>
      <c r="AJ221" s="2443"/>
      <c r="AK221" s="2333"/>
      <c r="AL221" s="2113"/>
      <c r="AM221" s="2301"/>
      <c r="AN221" s="2443"/>
      <c r="AO221" s="2683" t="s">
        <v>28</v>
      </c>
      <c r="AP221" s="2365"/>
      <c r="AQ221" s="4453"/>
      <c r="AR221" s="4454"/>
      <c r="AS221" s="4455" t="s">
        <v>515</v>
      </c>
      <c r="AT221" s="4456"/>
      <c r="AU221" s="4457"/>
      <c r="AV221" s="4458"/>
      <c r="AW221" s="4459"/>
      <c r="AX221" s="4460"/>
      <c r="AY221" s="4461"/>
      <c r="AZ221" s="4462"/>
      <c r="BA221" s="4463"/>
      <c r="BB221" s="4464"/>
      <c r="BC221" s="2260"/>
      <c r="BD221" s="1648"/>
      <c r="BE221" s="1630"/>
      <c r="BF221" s="1630"/>
      <c r="BG221" s="1630"/>
      <c r="BH221" s="1630"/>
      <c r="BI221" s="1641">
        <v>0</v>
      </c>
    </row>
    <row customHeight="1" ht="14.25">
      <c r="A222" s="1369"/>
      <c r="B222" s="1369"/>
      <c r="C222" s="1369"/>
      <c r="D222" s="1369"/>
      <c r="E222" s="2265"/>
      <c r="F222" s="2265"/>
      <c r="G222" s="2265"/>
      <c r="H222" s="2265"/>
      <c r="I222" s="2292"/>
      <c r="J222" s="2292"/>
      <c r="K222" s="2262" t="str">
        <f>S65&amp;".5"</f>
        <v>2.1.1.5</v>
      </c>
      <c r="L222" s="1375"/>
      <c r="M222" s="1782"/>
      <c r="N222" s="1782"/>
      <c r="O222" s="1782"/>
      <c r="P222" s="2380"/>
      <c r="Q222" s="2380"/>
      <c r="R222" s="2353"/>
      <c r="S222" s="2348"/>
      <c r="T222" s="2367"/>
      <c r="U222" s="306"/>
      <c r="V222" s="4465"/>
      <c r="W222" s="4466"/>
      <c r="X222" s="4467"/>
      <c r="Y222" s="4468"/>
      <c r="Z222" s="4469"/>
      <c r="AA222" s="4470"/>
      <c r="AB222" s="4471"/>
      <c r="AC222" s="4472"/>
      <c r="AD222" s="2192"/>
      <c r="AE222" s="2332"/>
      <c r="AF222" s="2443"/>
      <c r="AG222" s="2682" t="s">
        <v>28</v>
      </c>
      <c r="AH222" s="2113"/>
      <c r="AI222" s="2332"/>
      <c r="AJ222" s="2443"/>
      <c r="AK222" s="2333"/>
      <c r="AL222" s="2113"/>
      <c r="AM222" s="4473"/>
      <c r="AN222" s="4474"/>
      <c r="AO222" s="4475" t="s">
        <v>516</v>
      </c>
      <c r="AP222" s="4476"/>
      <c r="AQ222" s="4477"/>
      <c r="AR222" s="4478"/>
      <c r="AS222" s="4479"/>
      <c r="AT222" s="4480"/>
      <c r="AU222" s="4481"/>
      <c r="AV222" s="4482"/>
      <c r="AW222" s="4483"/>
      <c r="AX222" s="4484"/>
      <c r="AY222" s="4485"/>
      <c r="AZ222" s="4486"/>
      <c r="BA222" s="4487"/>
      <c r="BB222" s="4488"/>
      <c r="BC222" s="2260"/>
      <c r="BD222" s="1648"/>
      <c r="BE222" s="1630"/>
      <c r="BF222" s="1630"/>
      <c r="BG222" s="1630"/>
      <c r="BH222" s="1630"/>
      <c r="BI222" s="1641">
        <v>0</v>
      </c>
    </row>
    <row customHeight="1" ht="14.25">
      <c r="A223" s="1369"/>
      <c r="B223" s="1369"/>
      <c r="C223" s="1369"/>
      <c r="D223" s="1369"/>
      <c r="E223" s="2265"/>
      <c r="F223" s="2265"/>
      <c r="G223" s="2265"/>
      <c r="H223" s="2265"/>
      <c r="I223" s="2292"/>
      <c r="J223" s="2292"/>
      <c r="K223" s="2262" t="str">
        <f>S219&amp;".1"</f>
        <v>.1.1</v>
      </c>
      <c r="L223" s="1375"/>
      <c r="M223" s="1782"/>
      <c r="N223" s="1782"/>
      <c r="O223" s="1782"/>
      <c r="P223" s="2380"/>
      <c r="Q223" s="2380"/>
      <c r="R223" s="2353">
        <v>1</v>
      </c>
      <c r="S223" s="2347" t="str">
        <f>$K223</f>
        <v>.1.1</v>
      </c>
      <c r="T223" s="2366"/>
      <c r="U223" s="306"/>
      <c r="V223" s="757"/>
      <c r="W223" s="1263"/>
      <c r="X223" s="757"/>
      <c r="Y223" s="1263"/>
      <c r="Z223" s="2608"/>
      <c r="AA223" s="2113" t="s">
        <v>62</v>
      </c>
      <c r="AB223" s="2608"/>
      <c r="AC223" s="2113" t="s">
        <v>62</v>
      </c>
      <c r="AD223" s="2191" t="s">
        <v>62</v>
      </c>
      <c r="AE223" s="2332"/>
      <c r="AF223" s="2443">
        <v>1</v>
      </c>
      <c r="AG223" s="2369"/>
      <c r="AH223" s="2113" t="s">
        <v>62</v>
      </c>
      <c r="AI223" s="689" t="s">
        <v>253</v>
      </c>
      <c r="AJ223" s="2443" t="s">
        <v>112</v>
      </c>
      <c r="AK223" s="2333" t="s">
        <v>534</v>
      </c>
      <c r="AL223" s="2113" t="s">
        <v>19</v>
      </c>
      <c r="AM223" s="2300"/>
      <c r="AN223" s="2443">
        <v>1</v>
      </c>
      <c r="AO223" s="2683" t="s">
        <v>28</v>
      </c>
      <c r="AP223" s="2364" t="s">
        <v>62</v>
      </c>
      <c r="AQ223" s="317"/>
      <c r="AR223" s="2443">
        <v>1</v>
      </c>
      <c r="AS223" s="2582" t="s">
        <v>541</v>
      </c>
      <c r="AT223" s="757"/>
      <c r="AU223" s="1263"/>
      <c r="AV223" s="757"/>
      <c r="AW223" s="1263">
        <v>6718.52</v>
      </c>
      <c r="AX223" s="2608">
        <v>46023.619166666664</v>
      </c>
      <c r="AY223" s="2113" t="s">
        <v>62</v>
      </c>
      <c r="AZ223" s="2608">
        <v>46387.63553240741</v>
      </c>
      <c r="BA223" s="2113" t="s">
        <v>62</v>
      </c>
      <c r="BB223" s="1354"/>
      <c r="BC223" s="2259" t="s">
        <v>514</v>
      </c>
      <c r="BD223" s="1648"/>
      <c r="BE223" s="1630"/>
      <c r="BF223" s="1630" t="str">
        <f>IF(T223="","",T223)</f>
        <v/>
      </c>
      <c r="BG223" s="1630"/>
      <c r="BH223" s="1630"/>
      <c r="BI223" s="1641">
        <v>0</v>
      </c>
    </row>
    <row customHeight="1" ht="14.25">
      <c r="A224" s="1369"/>
      <c r="B224" s="1369"/>
      <c r="C224" s="1369"/>
      <c r="D224" s="1369"/>
      <c r="E224" s="2265"/>
      <c r="F224" s="2265"/>
      <c r="G224" s="2265"/>
      <c r="H224" s="2265"/>
      <c r="I224" s="2292"/>
      <c r="J224" s="2292"/>
      <c r="K224" s="2262" t="str">
        <f>S220&amp;".1"</f>
        <v>.1.1</v>
      </c>
      <c r="L224" s="1375"/>
      <c r="M224" s="1782"/>
      <c r="N224" s="1782"/>
      <c r="O224" s="1782"/>
      <c r="P224" s="2380"/>
      <c r="Q224" s="2380"/>
      <c r="R224" s="2353">
        <v>1</v>
      </c>
      <c r="S224" s="2347" t="str">
        <f>$K224</f>
        <v>.1.1</v>
      </c>
      <c r="T224" s="2366"/>
      <c r="U224" s="306"/>
      <c r="V224" s="757"/>
      <c r="W224" s="1263"/>
      <c r="X224" s="757"/>
      <c r="Y224" s="1263"/>
      <c r="Z224" s="2608"/>
      <c r="AA224" s="2113" t="s">
        <v>62</v>
      </c>
      <c r="AB224" s="2608"/>
      <c r="AC224" s="2113" t="s">
        <v>62</v>
      </c>
      <c r="AD224" s="2191" t="s">
        <v>62</v>
      </c>
      <c r="AE224" s="2332"/>
      <c r="AF224" s="2443">
        <v>1</v>
      </c>
      <c r="AG224" s="2369"/>
      <c r="AH224" s="2113" t="s">
        <v>62</v>
      </c>
      <c r="AI224" s="2332"/>
      <c r="AJ224" s="2443">
        <v>1</v>
      </c>
      <c r="AK224" s="2333" t="s">
        <v>28</v>
      </c>
      <c r="AL224" s="2113" t="s">
        <v>62</v>
      </c>
      <c r="AM224" s="2300"/>
      <c r="AN224" s="2443">
        <v>1</v>
      </c>
      <c r="AO224" s="2683" t="s">
        <v>28</v>
      </c>
      <c r="AP224" s="2364" t="s">
        <v>62</v>
      </c>
      <c r="AQ224" s="689" t="s">
        <v>253</v>
      </c>
      <c r="AR224" s="2443" t="s">
        <v>112</v>
      </c>
      <c r="AS224" s="2582" t="s">
        <v>541</v>
      </c>
      <c r="AT224" s="757"/>
      <c r="AU224" s="1263"/>
      <c r="AV224" s="757"/>
      <c r="AW224" s="1263">
        <v>9818.45</v>
      </c>
      <c r="AX224" s="2608">
        <v>46023.61922453704</v>
      </c>
      <c r="AY224" s="2113" t="s">
        <v>62</v>
      </c>
      <c r="AZ224" s="2608">
        <v>46387.635625</v>
      </c>
      <c r="BA224" s="2113" t="s">
        <v>62</v>
      </c>
      <c r="BB224" s="1354"/>
      <c r="BC224" s="2259" t="s">
        <v>514</v>
      </c>
      <c r="BD224" s="1648"/>
      <c r="BE224" s="1630"/>
      <c r="BF224" s="1630" t="str">
        <f>IF(T224="","",T224)</f>
        <v/>
      </c>
      <c r="BG224" s="1630"/>
      <c r="BH224" s="1630"/>
      <c r="BI224" s="1641">
        <v>0</v>
      </c>
    </row>
    <row customHeight="1" ht="14.25">
      <c r="A225" s="1369"/>
      <c r="B225" s="1369"/>
      <c r="C225" s="1369"/>
      <c r="D225" s="1369"/>
      <c r="E225" s="2265"/>
      <c r="F225" s="2265"/>
      <c r="G225" s="2265"/>
      <c r="H225" s="2265"/>
      <c r="I225" s="2292"/>
      <c r="J225" s="2292"/>
      <c r="K225" s="2262"/>
      <c r="L225" s="1375"/>
      <c r="M225" s="1782"/>
      <c r="N225" s="1782"/>
      <c r="O225" s="1782"/>
      <c r="P225" s="2380"/>
      <c r="Q225" s="2380"/>
      <c r="R225" s="2353"/>
      <c r="S225" s="2348"/>
      <c r="T225" s="2367"/>
      <c r="U225" s="306"/>
      <c r="V225" s="4489"/>
      <c r="W225" s="4490"/>
      <c r="X225" s="4491"/>
      <c r="Y225" s="4492"/>
      <c r="Z225" s="4493"/>
      <c r="AA225" s="4494"/>
      <c r="AB225" s="4495"/>
      <c r="AC225" s="4496"/>
      <c r="AD225" s="2192"/>
      <c r="AE225" s="2332"/>
      <c r="AF225" s="2443"/>
      <c r="AG225" s="2369"/>
      <c r="AH225" s="2113"/>
      <c r="AI225" s="2332"/>
      <c r="AJ225" s="2443">
        <v>1</v>
      </c>
      <c r="AK225" s="2333"/>
      <c r="AL225" s="2113"/>
      <c r="AM225" s="2301"/>
      <c r="AN225" s="2443"/>
      <c r="AO225" s="2683" t="s">
        <v>28</v>
      </c>
      <c r="AP225" s="2365"/>
      <c r="AQ225" s="4497"/>
      <c r="AR225" s="4498"/>
      <c r="AS225" s="4499" t="s">
        <v>515</v>
      </c>
      <c r="AT225" s="4500"/>
      <c r="AU225" s="4501"/>
      <c r="AV225" s="4502"/>
      <c r="AW225" s="4503"/>
      <c r="AX225" s="4504"/>
      <c r="AY225" s="4505"/>
      <c r="AZ225" s="4506"/>
      <c r="BA225" s="4507"/>
      <c r="BB225" s="4508"/>
      <c r="BC225" s="2260"/>
      <c r="BD225" s="1648"/>
      <c r="BE225" s="1630"/>
      <c r="BF225" s="1630"/>
      <c r="BG225" s="1630"/>
      <c r="BH225" s="1630"/>
      <c r="BI225" s="1641">
        <v>0</v>
      </c>
    </row>
    <row customHeight="1" ht="14.25">
      <c r="A226" s="1369"/>
      <c r="B226" s="1369"/>
      <c r="C226" s="1369"/>
      <c r="D226" s="1369"/>
      <c r="E226" s="2265"/>
      <c r="F226" s="2265"/>
      <c r="G226" s="2265"/>
      <c r="H226" s="2265"/>
      <c r="I226" s="2292"/>
      <c r="J226" s="2292"/>
      <c r="K226" s="2262"/>
      <c r="L226" s="1375"/>
      <c r="M226" s="1782"/>
      <c r="N226" s="1782"/>
      <c r="O226" s="1782"/>
      <c r="P226" s="2380"/>
      <c r="Q226" s="2380"/>
      <c r="R226" s="2353"/>
      <c r="S226" s="2348"/>
      <c r="T226" s="2367"/>
      <c r="U226" s="306"/>
      <c r="V226" s="4509"/>
      <c r="W226" s="4510"/>
      <c r="X226" s="4511"/>
      <c r="Y226" s="4512"/>
      <c r="Z226" s="4513"/>
      <c r="AA226" s="4514"/>
      <c r="AB226" s="4515"/>
      <c r="AC226" s="4516"/>
      <c r="AD226" s="2192"/>
      <c r="AE226" s="2332"/>
      <c r="AF226" s="2443"/>
      <c r="AG226" s="2369"/>
      <c r="AH226" s="2113"/>
      <c r="AI226" s="2332"/>
      <c r="AJ226" s="2443">
        <v>1</v>
      </c>
      <c r="AK226" s="2333"/>
      <c r="AL226" s="2113"/>
      <c r="AM226" s="4517"/>
      <c r="AN226" s="4518"/>
      <c r="AO226" s="4519" t="s">
        <v>516</v>
      </c>
      <c r="AP226" s="4520"/>
      <c r="AQ226" s="4521"/>
      <c r="AR226" s="4522"/>
      <c r="AS226" s="4523"/>
      <c r="AT226" s="4524"/>
      <c r="AU226" s="4525"/>
      <c r="AV226" s="4526"/>
      <c r="AW226" s="4527"/>
      <c r="AX226" s="4528"/>
      <c r="AY226" s="4529"/>
      <c r="AZ226" s="4530"/>
      <c r="BA226" s="4531"/>
      <c r="BB226" s="4532"/>
      <c r="BC226" s="2260"/>
      <c r="BD226" s="1648"/>
      <c r="BE226" s="1630"/>
      <c r="BF226" s="1630"/>
      <c r="BG226" s="1630"/>
      <c r="BH226" s="1630"/>
      <c r="BI226" s="1641">
        <v>0</v>
      </c>
    </row>
    <row customHeight="1" ht="14.25">
      <c r="A227" s="1369"/>
      <c r="B227" s="1369"/>
      <c r="C227" s="1369"/>
      <c r="D227" s="1369"/>
      <c r="E227" s="2265"/>
      <c r="F227" s="2265"/>
      <c r="G227" s="2265"/>
      <c r="H227" s="2265"/>
      <c r="I227" s="2292"/>
      <c r="J227" s="2292"/>
      <c r="K227" s="2262" t="str">
        <f>S223&amp;".1"</f>
        <v>.1.1.1</v>
      </c>
      <c r="L227" s="1375"/>
      <c r="M227" s="1782"/>
      <c r="N227" s="1782"/>
      <c r="O227" s="1782"/>
      <c r="P227" s="2380"/>
      <c r="Q227" s="2380"/>
      <c r="R227" s="2353">
        <v>1</v>
      </c>
      <c r="S227" s="2347" t="str">
        <f>$K227</f>
        <v>.1.1.1</v>
      </c>
      <c r="T227" s="2366"/>
      <c r="U227" s="306"/>
      <c r="V227" s="757"/>
      <c r="W227" s="1263"/>
      <c r="X227" s="757"/>
      <c r="Y227" s="1263"/>
      <c r="Z227" s="2608"/>
      <c r="AA227" s="2113" t="s">
        <v>62</v>
      </c>
      <c r="AB227" s="2608"/>
      <c r="AC227" s="2113" t="s">
        <v>62</v>
      </c>
      <c r="AD227" s="2191" t="s">
        <v>62</v>
      </c>
      <c r="AE227" s="2332"/>
      <c r="AF227" s="2443">
        <v>1</v>
      </c>
      <c r="AG227" s="2369"/>
      <c r="AH227" s="2113" t="s">
        <v>62</v>
      </c>
      <c r="AI227" s="689" t="s">
        <v>253</v>
      </c>
      <c r="AJ227" s="2443" t="s">
        <v>91</v>
      </c>
      <c r="AK227" s="2333" t="s">
        <v>535</v>
      </c>
      <c r="AL227" s="2113" t="s">
        <v>19</v>
      </c>
      <c r="AM227" s="2300"/>
      <c r="AN227" s="2443">
        <v>1</v>
      </c>
      <c r="AO227" s="2683" t="s">
        <v>28</v>
      </c>
      <c r="AP227" s="2364" t="s">
        <v>62</v>
      </c>
      <c r="AQ227" s="317"/>
      <c r="AR227" s="2443">
        <v>1</v>
      </c>
      <c r="AS227" s="2582" t="s">
        <v>541</v>
      </c>
      <c r="AT227" s="757"/>
      <c r="AU227" s="1263"/>
      <c r="AV227" s="757"/>
      <c r="AW227" s="1263">
        <v>7340.72</v>
      </c>
      <c r="AX227" s="2608">
        <v>46023.61928240741</v>
      </c>
      <c r="AY227" s="2113" t="s">
        <v>62</v>
      </c>
      <c r="AZ227" s="2608">
        <v>46387.635983796295</v>
      </c>
      <c r="BA227" s="2113" t="s">
        <v>62</v>
      </c>
      <c r="BB227" s="1354"/>
      <c r="BC227" s="2259" t="s">
        <v>514</v>
      </c>
      <c r="BD227" s="1648"/>
      <c r="BE227" s="1630"/>
      <c r="BF227" s="1630" t="str">
        <f>IF(T227="","",T227)</f>
        <v/>
      </c>
      <c r="BG227" s="1630"/>
      <c r="BH227" s="1630"/>
      <c r="BI227" s="1641">
        <v>0</v>
      </c>
    </row>
    <row customHeight="1" ht="14.25">
      <c r="A228" s="1369"/>
      <c r="B228" s="1369"/>
      <c r="C228" s="1369"/>
      <c r="D228" s="1369"/>
      <c r="E228" s="2265"/>
      <c r="F228" s="2265"/>
      <c r="G228" s="2265"/>
      <c r="H228" s="2265"/>
      <c r="I228" s="2292"/>
      <c r="J228" s="2292"/>
      <c r="K228" s="2262" t="str">
        <f>S224&amp;".1"</f>
        <v>.1.1.1</v>
      </c>
      <c r="L228" s="1375"/>
      <c r="M228" s="1782"/>
      <c r="N228" s="1782"/>
      <c r="O228" s="1782"/>
      <c r="P228" s="2380"/>
      <c r="Q228" s="2380"/>
      <c r="R228" s="2353">
        <v>1</v>
      </c>
      <c r="S228" s="2347" t="str">
        <f>$K228</f>
        <v>.1.1.1</v>
      </c>
      <c r="T228" s="2366"/>
      <c r="U228" s="306"/>
      <c r="V228" s="757"/>
      <c r="W228" s="1263"/>
      <c r="X228" s="757"/>
      <c r="Y228" s="1263"/>
      <c r="Z228" s="2608"/>
      <c r="AA228" s="2113" t="s">
        <v>62</v>
      </c>
      <c r="AB228" s="2608"/>
      <c r="AC228" s="2113" t="s">
        <v>62</v>
      </c>
      <c r="AD228" s="2191" t="s">
        <v>62</v>
      </c>
      <c r="AE228" s="2332"/>
      <c r="AF228" s="2443">
        <v>1</v>
      </c>
      <c r="AG228" s="2369"/>
      <c r="AH228" s="2113" t="s">
        <v>62</v>
      </c>
      <c r="AI228" s="2332"/>
      <c r="AJ228" s="2443">
        <v>1</v>
      </c>
      <c r="AK228" s="2333" t="s">
        <v>28</v>
      </c>
      <c r="AL228" s="2113" t="s">
        <v>62</v>
      </c>
      <c r="AM228" s="2300"/>
      <c r="AN228" s="2443">
        <v>1</v>
      </c>
      <c r="AO228" s="2683" t="s">
        <v>28</v>
      </c>
      <c r="AP228" s="2364" t="s">
        <v>62</v>
      </c>
      <c r="AQ228" s="689" t="s">
        <v>253</v>
      </c>
      <c r="AR228" s="2443" t="s">
        <v>112</v>
      </c>
      <c r="AS228" s="2582" t="s">
        <v>541</v>
      </c>
      <c r="AT228" s="757"/>
      <c r="AU228" s="1263"/>
      <c r="AV228" s="757"/>
      <c r="AW228" s="1263">
        <v>10464.66</v>
      </c>
      <c r="AX228" s="2608">
        <v>46023.6193287037</v>
      </c>
      <c r="AY228" s="2113" t="s">
        <v>62</v>
      </c>
      <c r="AZ228" s="2608">
        <v>46387.63607638889</v>
      </c>
      <c r="BA228" s="2113" t="s">
        <v>62</v>
      </c>
      <c r="BB228" s="1354"/>
      <c r="BC228" s="2259" t="s">
        <v>514</v>
      </c>
      <c r="BD228" s="1648"/>
      <c r="BE228" s="1630"/>
      <c r="BF228" s="1630" t="str">
        <f>IF(T228="","",T228)</f>
        <v/>
      </c>
      <c r="BG228" s="1630"/>
      <c r="BH228" s="1630"/>
      <c r="BI228" s="1641">
        <v>0</v>
      </c>
    </row>
    <row customHeight="1" ht="14.25">
      <c r="A229" s="1369"/>
      <c r="B229" s="1369"/>
      <c r="C229" s="1369"/>
      <c r="D229" s="1369"/>
      <c r="E229" s="2265"/>
      <c r="F229" s="2265"/>
      <c r="G229" s="2265"/>
      <c r="H229" s="2265"/>
      <c r="I229" s="2292"/>
      <c r="J229" s="2292"/>
      <c r="K229" s="2262" t="str">
        <f>S225&amp;".1"</f>
        <v>.1</v>
      </c>
      <c r="L229" s="1375"/>
      <c r="M229" s="1782"/>
      <c r="N229" s="1782"/>
      <c r="O229" s="1782"/>
      <c r="P229" s="2380"/>
      <c r="Q229" s="2380"/>
      <c r="R229" s="2353">
        <v>1</v>
      </c>
      <c r="S229" s="2347" t="str">
        <f>$K229</f>
        <v>.1</v>
      </c>
      <c r="T229" s="2366"/>
      <c r="U229" s="306"/>
      <c r="V229" s="757"/>
      <c r="W229" s="1263"/>
      <c r="X229" s="757"/>
      <c r="Y229" s="1263"/>
      <c r="Z229" s="2608"/>
      <c r="AA229" s="2113" t="s">
        <v>62</v>
      </c>
      <c r="AB229" s="2608"/>
      <c r="AC229" s="2113" t="s">
        <v>62</v>
      </c>
      <c r="AD229" s="2191" t="s">
        <v>62</v>
      </c>
      <c r="AE229" s="2332"/>
      <c r="AF229" s="2443">
        <v>1</v>
      </c>
      <c r="AG229" s="2369"/>
      <c r="AH229" s="2113" t="s">
        <v>62</v>
      </c>
      <c r="AI229" s="2332"/>
      <c r="AJ229" s="2443">
        <v>1</v>
      </c>
      <c r="AK229" s="2333" t="s">
        <v>28</v>
      </c>
      <c r="AL229" s="2113" t="s">
        <v>62</v>
      </c>
      <c r="AM229" s="2300"/>
      <c r="AN229" s="2443">
        <v>1</v>
      </c>
      <c r="AO229" s="2683" t="s">
        <v>28</v>
      </c>
      <c r="AP229" s="2364" t="s">
        <v>62</v>
      </c>
      <c r="AQ229" s="689" t="s">
        <v>253</v>
      </c>
      <c r="AR229" s="2443" t="s">
        <v>91</v>
      </c>
      <c r="AS229" s="2582" t="s">
        <v>541</v>
      </c>
      <c r="AT229" s="757"/>
      <c r="AU229" s="1263"/>
      <c r="AV229" s="757"/>
      <c r="AW229" s="1263">
        <v>8266.43</v>
      </c>
      <c r="AX229" s="2608">
        <v>46023.619363425925</v>
      </c>
      <c r="AY229" s="2113" t="s">
        <v>62</v>
      </c>
      <c r="AZ229" s="2608">
        <v>46387.63616898148</v>
      </c>
      <c r="BA229" s="2113" t="s">
        <v>62</v>
      </c>
      <c r="BB229" s="1354"/>
      <c r="BC229" s="2259" t="s">
        <v>514</v>
      </c>
      <c r="BD229" s="1648"/>
      <c r="BE229" s="1630"/>
      <c r="BF229" s="1630" t="str">
        <f>IF(T229="","",T229)</f>
        <v/>
      </c>
      <c r="BG229" s="1630"/>
      <c r="BH229" s="1630"/>
      <c r="BI229" s="1641">
        <v>0</v>
      </c>
    </row>
    <row customHeight="1" ht="14.25">
      <c r="A230" s="1369"/>
      <c r="B230" s="1369"/>
      <c r="C230" s="1369"/>
      <c r="D230" s="1369"/>
      <c r="E230" s="2265"/>
      <c r="F230" s="2265"/>
      <c r="G230" s="2265"/>
      <c r="H230" s="2265"/>
      <c r="I230" s="2292"/>
      <c r="J230" s="2292"/>
      <c r="K230" s="2262" t="str">
        <f>S226&amp;".1"</f>
        <v>.1</v>
      </c>
      <c r="L230" s="1375"/>
      <c r="M230" s="1782"/>
      <c r="N230" s="1782"/>
      <c r="O230" s="1782"/>
      <c r="P230" s="2380"/>
      <c r="Q230" s="2380"/>
      <c r="R230" s="2353">
        <v>1</v>
      </c>
      <c r="S230" s="2347" t="str">
        <f>$K230</f>
        <v>.1</v>
      </c>
      <c r="T230" s="2366"/>
      <c r="U230" s="306"/>
      <c r="V230" s="757"/>
      <c r="W230" s="1263"/>
      <c r="X230" s="757"/>
      <c r="Y230" s="1263"/>
      <c r="Z230" s="2608"/>
      <c r="AA230" s="2113" t="s">
        <v>62</v>
      </c>
      <c r="AB230" s="2608"/>
      <c r="AC230" s="2113" t="s">
        <v>62</v>
      </c>
      <c r="AD230" s="2191" t="s">
        <v>62</v>
      </c>
      <c r="AE230" s="2332"/>
      <c r="AF230" s="2443">
        <v>1</v>
      </c>
      <c r="AG230" s="2369"/>
      <c r="AH230" s="2113" t="s">
        <v>62</v>
      </c>
      <c r="AI230" s="2332"/>
      <c r="AJ230" s="2443">
        <v>1</v>
      </c>
      <c r="AK230" s="2333" t="s">
        <v>28</v>
      </c>
      <c r="AL230" s="2113" t="s">
        <v>62</v>
      </c>
      <c r="AM230" s="2300"/>
      <c r="AN230" s="2443">
        <v>1</v>
      </c>
      <c r="AO230" s="2683" t="s">
        <v>28</v>
      </c>
      <c r="AP230" s="2364" t="s">
        <v>62</v>
      </c>
      <c r="AQ230" s="689" t="s">
        <v>253</v>
      </c>
      <c r="AR230" s="2443" t="s">
        <v>92</v>
      </c>
      <c r="AS230" s="2582" t="s">
        <v>541</v>
      </c>
      <c r="AT230" s="757"/>
      <c r="AU230" s="1263"/>
      <c r="AV230" s="757"/>
      <c r="AW230" s="1263">
        <v>11410.93</v>
      </c>
      <c r="AX230" s="2608">
        <v>46023.61939814815</v>
      </c>
      <c r="AY230" s="2113" t="s">
        <v>62</v>
      </c>
      <c r="AZ230" s="2608">
        <v>46387.63623842593</v>
      </c>
      <c r="BA230" s="2113" t="s">
        <v>62</v>
      </c>
      <c r="BB230" s="1354"/>
      <c r="BC230" s="2259" t="s">
        <v>514</v>
      </c>
      <c r="BD230" s="1648"/>
      <c r="BE230" s="1630"/>
      <c r="BF230" s="1630" t="str">
        <f>IF(T230="","",T230)</f>
        <v/>
      </c>
      <c r="BG230" s="1630"/>
      <c r="BH230" s="1630"/>
      <c r="BI230" s="1641">
        <v>0</v>
      </c>
    </row>
    <row customHeight="1" ht="14.25">
      <c r="A231" s="1369"/>
      <c r="B231" s="1369"/>
      <c r="C231" s="1369"/>
      <c r="D231" s="1369"/>
      <c r="E231" s="2265"/>
      <c r="F231" s="2265"/>
      <c r="G231" s="2265"/>
      <c r="H231" s="2265"/>
      <c r="I231" s="2292"/>
      <c r="J231" s="2292"/>
      <c r="K231" s="2262"/>
      <c r="L231" s="1375"/>
      <c r="M231" s="1782"/>
      <c r="N231" s="1782"/>
      <c r="O231" s="1782"/>
      <c r="P231" s="2380"/>
      <c r="Q231" s="2380"/>
      <c r="R231" s="2353"/>
      <c r="S231" s="2348"/>
      <c r="T231" s="2367"/>
      <c r="U231" s="306"/>
      <c r="V231" s="4533"/>
      <c r="W231" s="4534"/>
      <c r="X231" s="4535"/>
      <c r="Y231" s="4536"/>
      <c r="Z231" s="4537"/>
      <c r="AA231" s="4538"/>
      <c r="AB231" s="4539"/>
      <c r="AC231" s="4540"/>
      <c r="AD231" s="2192"/>
      <c r="AE231" s="2332"/>
      <c r="AF231" s="2443"/>
      <c r="AG231" s="2369"/>
      <c r="AH231" s="2113"/>
      <c r="AI231" s="2332"/>
      <c r="AJ231" s="2443" t="s">
        <v>112</v>
      </c>
      <c r="AK231" s="2333"/>
      <c r="AL231" s="2113"/>
      <c r="AM231" s="2301"/>
      <c r="AN231" s="2443"/>
      <c r="AO231" s="2683" t="s">
        <v>28</v>
      </c>
      <c r="AP231" s="2365"/>
      <c r="AQ231" s="4541"/>
      <c r="AR231" s="4542"/>
      <c r="AS231" s="4543" t="s">
        <v>515</v>
      </c>
      <c r="AT231" s="4544"/>
      <c r="AU231" s="4545"/>
      <c r="AV231" s="4546"/>
      <c r="AW231" s="4547"/>
      <c r="AX231" s="4548"/>
      <c r="AY231" s="4549"/>
      <c r="AZ231" s="4550"/>
      <c r="BA231" s="4551"/>
      <c r="BB231" s="4552"/>
      <c r="BC231" s="2260"/>
      <c r="BD231" s="1648"/>
      <c r="BE231" s="1630"/>
      <c r="BF231" s="1630"/>
      <c r="BG231" s="1630"/>
      <c r="BH231" s="1630"/>
      <c r="BI231" s="1641">
        <v>0</v>
      </c>
    </row>
    <row customHeight="1" ht="14.25">
      <c r="A232" s="1369"/>
      <c r="B232" s="1369"/>
      <c r="C232" s="1369"/>
      <c r="D232" s="1369"/>
      <c r="E232" s="2265"/>
      <c r="F232" s="2265"/>
      <c r="G232" s="2265"/>
      <c r="H232" s="2265"/>
      <c r="I232" s="2292"/>
      <c r="J232" s="2292"/>
      <c r="K232" s="2262"/>
      <c r="L232" s="1375"/>
      <c r="M232" s="1782"/>
      <c r="N232" s="1782"/>
      <c r="O232" s="1782"/>
      <c r="P232" s="2380"/>
      <c r="Q232" s="2380"/>
      <c r="R232" s="2353"/>
      <c r="S232" s="2348"/>
      <c r="T232" s="2367"/>
      <c r="U232" s="306"/>
      <c r="V232" s="4553"/>
      <c r="W232" s="4554"/>
      <c r="X232" s="4555"/>
      <c r="Y232" s="4556"/>
      <c r="Z232" s="4557"/>
      <c r="AA232" s="4558"/>
      <c r="AB232" s="4559"/>
      <c r="AC232" s="4560"/>
      <c r="AD232" s="2192"/>
      <c r="AE232" s="2332"/>
      <c r="AF232" s="2443"/>
      <c r="AG232" s="2369"/>
      <c r="AH232" s="2113"/>
      <c r="AI232" s="2332"/>
      <c r="AJ232" s="2443" t="s">
        <v>112</v>
      </c>
      <c r="AK232" s="2333"/>
      <c r="AL232" s="2113"/>
      <c r="AM232" s="4561"/>
      <c r="AN232" s="4562"/>
      <c r="AO232" s="4563" t="s">
        <v>516</v>
      </c>
      <c r="AP232" s="4564"/>
      <c r="AQ232" s="4565"/>
      <c r="AR232" s="4566"/>
      <c r="AS232" s="4567"/>
      <c r="AT232" s="4568"/>
      <c r="AU232" s="4569"/>
      <c r="AV232" s="4570"/>
      <c r="AW232" s="4571"/>
      <c r="AX232" s="4572"/>
      <c r="AY232" s="4573"/>
      <c r="AZ232" s="4574"/>
      <c r="BA232" s="4575"/>
      <c r="BB232" s="4576"/>
      <c r="BC232" s="2260"/>
      <c r="BD232" s="1648"/>
      <c r="BE232" s="1630"/>
      <c r="BF232" s="1630"/>
      <c r="BG232" s="1630"/>
      <c r="BH232" s="1630"/>
      <c r="BI232" s="1641">
        <v>0</v>
      </c>
    </row>
    <row customHeight="1" ht="14.25">
      <c r="A233" s="1369"/>
      <c r="B233" s="1369"/>
      <c r="C233" s="1369"/>
      <c r="D233" s="1369"/>
      <c r="E233" s="2265"/>
      <c r="F233" s="2265"/>
      <c r="G233" s="2265"/>
      <c r="H233" s="2265"/>
      <c r="I233" s="2292"/>
      <c r="J233" s="2292"/>
      <c r="K233" s="2262" t="str">
        <f>S229&amp;".1"</f>
        <v>.1.1</v>
      </c>
      <c r="L233" s="1375"/>
      <c r="M233" s="1782"/>
      <c r="N233" s="1782"/>
      <c r="O233" s="1782"/>
      <c r="P233" s="2380"/>
      <c r="Q233" s="2380"/>
      <c r="R233" s="2353">
        <v>1</v>
      </c>
      <c r="S233" s="2347" t="str">
        <f>$K233</f>
        <v>.1.1</v>
      </c>
      <c r="T233" s="2366"/>
      <c r="U233" s="306"/>
      <c r="V233" s="757"/>
      <c r="W233" s="1263"/>
      <c r="X233" s="757"/>
      <c r="Y233" s="1263"/>
      <c r="Z233" s="2608"/>
      <c r="AA233" s="2113" t="s">
        <v>62</v>
      </c>
      <c r="AB233" s="2608"/>
      <c r="AC233" s="2113" t="s">
        <v>62</v>
      </c>
      <c r="AD233" s="2191" t="s">
        <v>62</v>
      </c>
      <c r="AE233" s="2332"/>
      <c r="AF233" s="2443">
        <v>1</v>
      </c>
      <c r="AG233" s="2369"/>
      <c r="AH233" s="2113" t="s">
        <v>62</v>
      </c>
      <c r="AI233" s="689" t="s">
        <v>253</v>
      </c>
      <c r="AJ233" s="2443" t="s">
        <v>92</v>
      </c>
      <c r="AK233" s="2333" t="s">
        <v>536</v>
      </c>
      <c r="AL233" s="2113" t="s">
        <v>19</v>
      </c>
      <c r="AM233" s="2300"/>
      <c r="AN233" s="2443">
        <v>1</v>
      </c>
      <c r="AO233" s="2683" t="s">
        <v>28</v>
      </c>
      <c r="AP233" s="2364" t="s">
        <v>62</v>
      </c>
      <c r="AQ233" s="317"/>
      <c r="AR233" s="2443">
        <v>1</v>
      </c>
      <c r="AS233" s="2582" t="s">
        <v>541</v>
      </c>
      <c r="AT233" s="757"/>
      <c r="AU233" s="1263"/>
      <c r="AV233" s="757"/>
      <c r="AW233" s="1263">
        <v>10256.04</v>
      </c>
      <c r="AX233" s="2608">
        <v>46023.61943287037</v>
      </c>
      <c r="AY233" s="2113" t="s">
        <v>62</v>
      </c>
      <c r="AZ233" s="2608">
        <v>46387.63630787037</v>
      </c>
      <c r="BA233" s="2113" t="s">
        <v>62</v>
      </c>
      <c r="BB233" s="1354"/>
      <c r="BC233" s="2259" t="s">
        <v>514</v>
      </c>
      <c r="BD233" s="1648"/>
      <c r="BE233" s="1630"/>
      <c r="BF233" s="1630" t="str">
        <f>IF(T233="","",T233)</f>
        <v/>
      </c>
      <c r="BG233" s="1630"/>
      <c r="BH233" s="1630"/>
      <c r="BI233" s="1641">
        <v>0</v>
      </c>
    </row>
    <row customHeight="1" ht="14.25">
      <c r="A234" s="1369"/>
      <c r="B234" s="1369"/>
      <c r="C234" s="1369"/>
      <c r="D234" s="1369"/>
      <c r="E234" s="2265"/>
      <c r="F234" s="2265"/>
      <c r="G234" s="2265"/>
      <c r="H234" s="2265"/>
      <c r="I234" s="2292"/>
      <c r="J234" s="2292"/>
      <c r="K234" s="2262" t="str">
        <f>S230&amp;".1"</f>
        <v>.1.1</v>
      </c>
      <c r="L234" s="1375"/>
      <c r="M234" s="1782"/>
      <c r="N234" s="1782"/>
      <c r="O234" s="1782"/>
      <c r="P234" s="2380"/>
      <c r="Q234" s="2380"/>
      <c r="R234" s="2353">
        <v>1</v>
      </c>
      <c r="S234" s="2347" t="str">
        <f>$K234</f>
        <v>.1.1</v>
      </c>
      <c r="T234" s="2366"/>
      <c r="U234" s="306"/>
      <c r="V234" s="757"/>
      <c r="W234" s="1263"/>
      <c r="X234" s="757"/>
      <c r="Y234" s="1263"/>
      <c r="Z234" s="2608"/>
      <c r="AA234" s="2113" t="s">
        <v>62</v>
      </c>
      <c r="AB234" s="2608"/>
      <c r="AC234" s="2113" t="s">
        <v>62</v>
      </c>
      <c r="AD234" s="2191" t="s">
        <v>62</v>
      </c>
      <c r="AE234" s="2332"/>
      <c r="AF234" s="2443">
        <v>1</v>
      </c>
      <c r="AG234" s="2369"/>
      <c r="AH234" s="2113" t="s">
        <v>62</v>
      </c>
      <c r="AI234" s="2332"/>
      <c r="AJ234" s="2443">
        <v>1</v>
      </c>
      <c r="AK234" s="2333" t="s">
        <v>28</v>
      </c>
      <c r="AL234" s="2113" t="s">
        <v>62</v>
      </c>
      <c r="AM234" s="2300"/>
      <c r="AN234" s="2443">
        <v>1</v>
      </c>
      <c r="AO234" s="2683" t="s">
        <v>28</v>
      </c>
      <c r="AP234" s="2364" t="s">
        <v>62</v>
      </c>
      <c r="AQ234" s="689" t="s">
        <v>253</v>
      </c>
      <c r="AR234" s="2443" t="s">
        <v>112</v>
      </c>
      <c r="AS234" s="2582" t="s">
        <v>541</v>
      </c>
      <c r="AT234" s="757"/>
      <c r="AU234" s="1263"/>
      <c r="AV234" s="757"/>
      <c r="AW234" s="1263">
        <v>13442.17</v>
      </c>
      <c r="AX234" s="2608">
        <v>46023.61949074074</v>
      </c>
      <c r="AY234" s="2113" t="s">
        <v>62</v>
      </c>
      <c r="AZ234" s="2608">
        <v>46387.63638888889</v>
      </c>
      <c r="BA234" s="2113" t="s">
        <v>62</v>
      </c>
      <c r="BB234" s="1354"/>
      <c r="BC234" s="2259" t="s">
        <v>514</v>
      </c>
      <c r="BD234" s="1648"/>
      <c r="BE234" s="1630"/>
      <c r="BF234" s="1630" t="str">
        <f>IF(T234="","",T234)</f>
        <v/>
      </c>
      <c r="BG234" s="1630"/>
      <c r="BH234" s="1630"/>
      <c r="BI234" s="1641">
        <v>0</v>
      </c>
    </row>
    <row customHeight="1" ht="14.25">
      <c r="A235" s="1369"/>
      <c r="B235" s="1369"/>
      <c r="C235" s="1369"/>
      <c r="D235" s="1369"/>
      <c r="E235" s="2265"/>
      <c r="F235" s="2265"/>
      <c r="G235" s="2265"/>
      <c r="H235" s="2265"/>
      <c r="I235" s="2292"/>
      <c r="J235" s="2292"/>
      <c r="K235" s="2262"/>
      <c r="L235" s="1375"/>
      <c r="M235" s="1782"/>
      <c r="N235" s="1782"/>
      <c r="O235" s="1782"/>
      <c r="P235" s="2380"/>
      <c r="Q235" s="2380"/>
      <c r="R235" s="2353"/>
      <c r="S235" s="2348"/>
      <c r="T235" s="2367"/>
      <c r="U235" s="306"/>
      <c r="V235" s="4577"/>
      <c r="W235" s="4578"/>
      <c r="X235" s="4579"/>
      <c r="Y235" s="4580"/>
      <c r="Z235" s="4581"/>
      <c r="AA235" s="4582"/>
      <c r="AB235" s="4583"/>
      <c r="AC235" s="4584"/>
      <c r="AD235" s="2192"/>
      <c r="AE235" s="2332"/>
      <c r="AF235" s="2443"/>
      <c r="AG235" s="2369"/>
      <c r="AH235" s="2113"/>
      <c r="AI235" s="2332"/>
      <c r="AJ235" s="2443" t="s">
        <v>91</v>
      </c>
      <c r="AK235" s="2333"/>
      <c r="AL235" s="2113"/>
      <c r="AM235" s="2301"/>
      <c r="AN235" s="2443"/>
      <c r="AO235" s="2683" t="s">
        <v>28</v>
      </c>
      <c r="AP235" s="2365"/>
      <c r="AQ235" s="4585"/>
      <c r="AR235" s="4586"/>
      <c r="AS235" s="4587" t="s">
        <v>515</v>
      </c>
      <c r="AT235" s="4588"/>
      <c r="AU235" s="4589"/>
      <c r="AV235" s="4590"/>
      <c r="AW235" s="4591"/>
      <c r="AX235" s="4592"/>
      <c r="AY235" s="4593"/>
      <c r="AZ235" s="4594"/>
      <c r="BA235" s="4595"/>
      <c r="BB235" s="4596"/>
      <c r="BC235" s="2260"/>
      <c r="BD235" s="1648"/>
      <c r="BE235" s="1630"/>
      <c r="BF235" s="1630"/>
      <c r="BG235" s="1630"/>
      <c r="BH235" s="1630"/>
      <c r="BI235" s="1641">
        <v>0</v>
      </c>
    </row>
    <row customHeight="1" ht="14.25">
      <c r="A236" s="1369"/>
      <c r="B236" s="1369"/>
      <c r="C236" s="1369"/>
      <c r="D236" s="1369"/>
      <c r="E236" s="2265"/>
      <c r="F236" s="2265"/>
      <c r="G236" s="2265"/>
      <c r="H236" s="2265"/>
      <c r="I236" s="2292"/>
      <c r="J236" s="2292"/>
      <c r="K236" s="2262"/>
      <c r="L236" s="1375"/>
      <c r="M236" s="1782"/>
      <c r="N236" s="1782"/>
      <c r="O236" s="1782"/>
      <c r="P236" s="2380"/>
      <c r="Q236" s="2380"/>
      <c r="R236" s="2353"/>
      <c r="S236" s="2348"/>
      <c r="T236" s="2367"/>
      <c r="U236" s="306"/>
      <c r="V236" s="4597"/>
      <c r="W236" s="4598"/>
      <c r="X236" s="4599"/>
      <c r="Y236" s="4600"/>
      <c r="Z236" s="4601"/>
      <c r="AA236" s="4602"/>
      <c r="AB236" s="4603"/>
      <c r="AC236" s="4604"/>
      <c r="AD236" s="2192"/>
      <c r="AE236" s="2332"/>
      <c r="AF236" s="2443"/>
      <c r="AG236" s="2369"/>
      <c r="AH236" s="2113"/>
      <c r="AI236" s="2332"/>
      <c r="AJ236" s="2443" t="s">
        <v>91</v>
      </c>
      <c r="AK236" s="2333"/>
      <c r="AL236" s="2113"/>
      <c r="AM236" s="4605"/>
      <c r="AN236" s="4606"/>
      <c r="AO236" s="4607" t="s">
        <v>516</v>
      </c>
      <c r="AP236" s="4608"/>
      <c r="AQ236" s="4609"/>
      <c r="AR236" s="4610"/>
      <c r="AS236" s="4611"/>
      <c r="AT236" s="4612"/>
      <c r="AU236" s="4613"/>
      <c r="AV236" s="4614"/>
      <c r="AW236" s="4615"/>
      <c r="AX236" s="4616"/>
      <c r="AY236" s="4617"/>
      <c r="AZ236" s="4618"/>
      <c r="BA236" s="4619"/>
      <c r="BB236" s="4620"/>
      <c r="BC236" s="2260"/>
      <c r="BD236" s="1648"/>
      <c r="BE236" s="1630"/>
      <c r="BF236" s="1630"/>
      <c r="BG236" s="1630"/>
      <c r="BH236" s="1630"/>
      <c r="BI236" s="1641">
        <v>0</v>
      </c>
    </row>
    <row customHeight="1" ht="14.25">
      <c r="A237" s="1369"/>
      <c r="B237" s="1369"/>
      <c r="C237" s="1369"/>
      <c r="D237" s="1369"/>
      <c r="E237" s="2265"/>
      <c r="F237" s="2265"/>
      <c r="G237" s="2265"/>
      <c r="H237" s="2265"/>
      <c r="I237" s="2292"/>
      <c r="J237" s="2292"/>
      <c r="K237" s="2262" t="str">
        <f>S232&amp;".1"</f>
        <v>.1</v>
      </c>
      <c r="L237" s="1375"/>
      <c r="M237" s="1782"/>
      <c r="N237" s="1782"/>
      <c r="O237" s="1782"/>
      <c r="P237" s="2380"/>
      <c r="Q237" s="2380"/>
      <c r="R237" s="2353">
        <v>1</v>
      </c>
      <c r="S237" s="2347" t="str">
        <f>$K237</f>
        <v>.1</v>
      </c>
      <c r="T237" s="2366"/>
      <c r="U237" s="306"/>
      <c r="V237" s="757"/>
      <c r="W237" s="1263"/>
      <c r="X237" s="757"/>
      <c r="Y237" s="1263"/>
      <c r="Z237" s="2608"/>
      <c r="AA237" s="2113" t="s">
        <v>62</v>
      </c>
      <c r="AB237" s="2608"/>
      <c r="AC237" s="2113" t="s">
        <v>62</v>
      </c>
      <c r="AD237" s="2191" t="s">
        <v>62</v>
      </c>
      <c r="AE237" s="2332"/>
      <c r="AF237" s="2443">
        <v>1</v>
      </c>
      <c r="AG237" s="2369"/>
      <c r="AH237" s="2113" t="s">
        <v>62</v>
      </c>
      <c r="AI237" s="689" t="s">
        <v>253</v>
      </c>
      <c r="AJ237" s="2443" t="s">
        <v>113</v>
      </c>
      <c r="AK237" s="2333" t="s">
        <v>537</v>
      </c>
      <c r="AL237" s="2113" t="s">
        <v>19</v>
      </c>
      <c r="AM237" s="2300"/>
      <c r="AN237" s="2443">
        <v>1</v>
      </c>
      <c r="AO237" s="2683" t="s">
        <v>28</v>
      </c>
      <c r="AP237" s="2364" t="s">
        <v>62</v>
      </c>
      <c r="AQ237" s="317"/>
      <c r="AR237" s="2443">
        <v>1</v>
      </c>
      <c r="AS237" s="2582" t="s">
        <v>541</v>
      </c>
      <c r="AT237" s="757"/>
      <c r="AU237" s="1263"/>
      <c r="AV237" s="757"/>
      <c r="AW237" s="1263">
        <v>13023.08</v>
      </c>
      <c r="AX237" s="2608">
        <v>46023.619525462964</v>
      </c>
      <c r="AY237" s="2113" t="s">
        <v>62</v>
      </c>
      <c r="AZ237" s="2608">
        <v>46387.63650462963</v>
      </c>
      <c r="BA237" s="2113" t="s">
        <v>62</v>
      </c>
      <c r="BB237" s="1354"/>
      <c r="BC237" s="2259" t="s">
        <v>514</v>
      </c>
      <c r="BD237" s="1648"/>
      <c r="BE237" s="1630"/>
      <c r="BF237" s="1630" t="str">
        <f>IF(T237="","",T237)</f>
        <v/>
      </c>
      <c r="BG237" s="1630"/>
      <c r="BH237" s="1630"/>
      <c r="BI237" s="1641">
        <v>0</v>
      </c>
    </row>
    <row customHeight="1" ht="14.25">
      <c r="A238" s="1369"/>
      <c r="B238" s="1369"/>
      <c r="C238" s="1369"/>
      <c r="D238" s="1369"/>
      <c r="E238" s="2265"/>
      <c r="F238" s="2265"/>
      <c r="G238" s="2265"/>
      <c r="H238" s="2265"/>
      <c r="I238" s="2292"/>
      <c r="J238" s="2292"/>
      <c r="K238" s="2262" t="str">
        <f>S234&amp;".1"</f>
        <v>.1.1.1</v>
      </c>
      <c r="L238" s="1375"/>
      <c r="M238" s="1782"/>
      <c r="N238" s="1782"/>
      <c r="O238" s="1782"/>
      <c r="P238" s="2380"/>
      <c r="Q238" s="2380"/>
      <c r="R238" s="2353">
        <v>1</v>
      </c>
      <c r="S238" s="2347" t="str">
        <f>$K238</f>
        <v>.1.1.1</v>
      </c>
      <c r="T238" s="2366"/>
      <c r="U238" s="306"/>
      <c r="V238" s="757"/>
      <c r="W238" s="1263"/>
      <c r="X238" s="757"/>
      <c r="Y238" s="1263"/>
      <c r="Z238" s="2608"/>
      <c r="AA238" s="2113" t="s">
        <v>62</v>
      </c>
      <c r="AB238" s="2608"/>
      <c r="AC238" s="2113" t="s">
        <v>62</v>
      </c>
      <c r="AD238" s="2191" t="s">
        <v>62</v>
      </c>
      <c r="AE238" s="2332"/>
      <c r="AF238" s="2443">
        <v>1</v>
      </c>
      <c r="AG238" s="2369"/>
      <c r="AH238" s="2113" t="s">
        <v>62</v>
      </c>
      <c r="AI238" s="2332"/>
      <c r="AJ238" s="2443">
        <v>1</v>
      </c>
      <c r="AK238" s="2333" t="s">
        <v>28</v>
      </c>
      <c r="AL238" s="2113" t="s">
        <v>62</v>
      </c>
      <c r="AM238" s="2300"/>
      <c r="AN238" s="2443">
        <v>1</v>
      </c>
      <c r="AO238" s="2683" t="s">
        <v>28</v>
      </c>
      <c r="AP238" s="2364" t="s">
        <v>62</v>
      </c>
      <c r="AQ238" s="689" t="s">
        <v>253</v>
      </c>
      <c r="AR238" s="2443" t="s">
        <v>112</v>
      </c>
      <c r="AS238" s="2582" t="s">
        <v>541</v>
      </c>
      <c r="AT238" s="757"/>
      <c r="AU238" s="1263"/>
      <c r="AV238" s="757"/>
      <c r="AW238" s="1263">
        <v>16457.93</v>
      </c>
      <c r="AX238" s="2608">
        <v>46023.61956018519</v>
      </c>
      <c r="AY238" s="2113" t="s">
        <v>62</v>
      </c>
      <c r="AZ238" s="2608">
        <v>46387.636608796296</v>
      </c>
      <c r="BA238" s="2113" t="s">
        <v>62</v>
      </c>
      <c r="BB238" s="1354"/>
      <c r="BC238" s="2259" t="s">
        <v>514</v>
      </c>
      <c r="BD238" s="1648"/>
      <c r="BE238" s="1630"/>
      <c r="BF238" s="1630" t="str">
        <f>IF(T238="","",T238)</f>
        <v/>
      </c>
      <c r="BG238" s="1630"/>
      <c r="BH238" s="1630"/>
      <c r="BI238" s="1641">
        <v>0</v>
      </c>
    </row>
    <row customHeight="1" ht="14.25">
      <c r="A239" s="1369"/>
      <c r="B239" s="1369"/>
      <c r="C239" s="1369"/>
      <c r="D239" s="1369"/>
      <c r="E239" s="2265"/>
      <c r="F239" s="2265"/>
      <c r="G239" s="2265"/>
      <c r="H239" s="2265"/>
      <c r="I239" s="2292"/>
      <c r="J239" s="2292"/>
      <c r="K239" s="2262"/>
      <c r="L239" s="1375"/>
      <c r="M239" s="1782"/>
      <c r="N239" s="1782"/>
      <c r="O239" s="1782"/>
      <c r="P239" s="2380"/>
      <c r="Q239" s="2380"/>
      <c r="R239" s="2353"/>
      <c r="S239" s="2348"/>
      <c r="T239" s="2367"/>
      <c r="U239" s="306"/>
      <c r="V239" s="4621"/>
      <c r="W239" s="4622"/>
      <c r="X239" s="4623"/>
      <c r="Y239" s="4624"/>
      <c r="Z239" s="4625"/>
      <c r="AA239" s="4626"/>
      <c r="AB239" s="4627"/>
      <c r="AC239" s="4628"/>
      <c r="AD239" s="2192"/>
      <c r="AE239" s="2332"/>
      <c r="AF239" s="2443"/>
      <c r="AG239" s="2369"/>
      <c r="AH239" s="2113"/>
      <c r="AI239" s="2332"/>
      <c r="AJ239" s="2443" t="s">
        <v>92</v>
      </c>
      <c r="AK239" s="2333"/>
      <c r="AL239" s="2113"/>
      <c r="AM239" s="2301"/>
      <c r="AN239" s="2443"/>
      <c r="AO239" s="2683" t="s">
        <v>28</v>
      </c>
      <c r="AP239" s="2365"/>
      <c r="AQ239" s="4629"/>
      <c r="AR239" s="4630"/>
      <c r="AS239" s="4631" t="s">
        <v>515</v>
      </c>
      <c r="AT239" s="4632"/>
      <c r="AU239" s="4633"/>
      <c r="AV239" s="4634"/>
      <c r="AW239" s="4635"/>
      <c r="AX239" s="4636"/>
      <c r="AY239" s="4637"/>
      <c r="AZ239" s="4638"/>
      <c r="BA239" s="4639"/>
      <c r="BB239" s="4640"/>
      <c r="BC239" s="2260"/>
      <c r="BD239" s="1648"/>
      <c r="BE239" s="1630"/>
      <c r="BF239" s="1630"/>
      <c r="BG239" s="1630"/>
      <c r="BH239" s="1630"/>
      <c r="BI239" s="1641">
        <v>0</v>
      </c>
    </row>
    <row customHeight="1" ht="14.25">
      <c r="A240" s="1369"/>
      <c r="B240" s="1369"/>
      <c r="C240" s="1369"/>
      <c r="D240" s="1369"/>
      <c r="E240" s="2265"/>
      <c r="F240" s="2265"/>
      <c r="G240" s="2265"/>
      <c r="H240" s="2265"/>
      <c r="I240" s="2292"/>
      <c r="J240" s="2292"/>
      <c r="K240" s="2262"/>
      <c r="L240" s="1375"/>
      <c r="M240" s="1782"/>
      <c r="N240" s="1782"/>
      <c r="O240" s="1782"/>
      <c r="P240" s="2380"/>
      <c r="Q240" s="2380"/>
      <c r="R240" s="2353"/>
      <c r="S240" s="2348"/>
      <c r="T240" s="2367"/>
      <c r="U240" s="306"/>
      <c r="V240" s="4641"/>
      <c r="W240" s="4642"/>
      <c r="X240" s="4643"/>
      <c r="Y240" s="4644"/>
      <c r="Z240" s="4645"/>
      <c r="AA240" s="4646"/>
      <c r="AB240" s="4647"/>
      <c r="AC240" s="4648"/>
      <c r="AD240" s="2192"/>
      <c r="AE240" s="2332"/>
      <c r="AF240" s="2443"/>
      <c r="AG240" s="2369"/>
      <c r="AH240" s="2113"/>
      <c r="AI240" s="2332"/>
      <c r="AJ240" s="2443" t="s">
        <v>92</v>
      </c>
      <c r="AK240" s="2333"/>
      <c r="AL240" s="2113"/>
      <c r="AM240" s="4649"/>
      <c r="AN240" s="4650"/>
      <c r="AO240" s="4651" t="s">
        <v>516</v>
      </c>
      <c r="AP240" s="4652"/>
      <c r="AQ240" s="4653"/>
      <c r="AR240" s="4654"/>
      <c r="AS240" s="4655"/>
      <c r="AT240" s="4656"/>
      <c r="AU240" s="4657"/>
      <c r="AV240" s="4658"/>
      <c r="AW240" s="4659"/>
      <c r="AX240" s="4660"/>
      <c r="AY240" s="4661"/>
      <c r="AZ240" s="4662"/>
      <c r="BA240" s="4663"/>
      <c r="BB240" s="4664"/>
      <c r="BC240" s="2260"/>
      <c r="BD240" s="1648"/>
      <c r="BE240" s="1630"/>
      <c r="BF240" s="1630"/>
      <c r="BG240" s="1630"/>
      <c r="BH240" s="1630"/>
      <c r="BI240" s="1641">
        <v>0</v>
      </c>
    </row>
    <row customHeight="1" ht="14.25">
      <c r="A241" s="1369"/>
      <c r="B241" s="1369"/>
      <c r="C241" s="1369"/>
      <c r="D241" s="1369"/>
      <c r="E241" s="2265"/>
      <c r="F241" s="2265"/>
      <c r="G241" s="2265"/>
      <c r="H241" s="2265"/>
      <c r="I241" s="2292"/>
      <c r="J241" s="2292"/>
      <c r="K241" s="2262" t="str">
        <f>S65&amp;".5"</f>
        <v>2.1.1.5</v>
      </c>
      <c r="L241" s="1375"/>
      <c r="M241" s="1782"/>
      <c r="N241" s="1782"/>
      <c r="O241" s="1782"/>
      <c r="P241" s="2380"/>
      <c r="Q241" s="2380"/>
      <c r="R241" s="2353"/>
      <c r="S241" s="2348"/>
      <c r="T241" s="2367"/>
      <c r="U241" s="306"/>
      <c r="V241" s="4665"/>
      <c r="W241" s="4666"/>
      <c r="X241" s="4667"/>
      <c r="Y241" s="4668"/>
      <c r="Z241" s="4669"/>
      <c r="AA241" s="4670"/>
      <c r="AB241" s="4671"/>
      <c r="AC241" s="4672"/>
      <c r="AD241" s="2192"/>
      <c r="AE241" s="2332"/>
      <c r="AF241" s="2443"/>
      <c r="AG241" s="2682" t="s">
        <v>28</v>
      </c>
      <c r="AH241" s="2113"/>
      <c r="AI241" s="4673"/>
      <c r="AJ241" s="4674"/>
      <c r="AK241" s="4675" t="s">
        <v>517</v>
      </c>
      <c r="AL241" s="4676"/>
      <c r="AM241" s="4677"/>
      <c r="AN241" s="4678"/>
      <c r="AO241" s="4679"/>
      <c r="AP241" s="4680"/>
      <c r="AQ241" s="4681"/>
      <c r="AR241" s="4682"/>
      <c r="AS241" s="4683"/>
      <c r="AT241" s="4684"/>
      <c r="AU241" s="4685"/>
      <c r="AV241" s="4686"/>
      <c r="AW241" s="4687"/>
      <c r="AX241" s="4688"/>
      <c r="AY241" s="4689"/>
      <c r="AZ241" s="4690"/>
      <c r="BA241" s="4691"/>
      <c r="BB241" s="4692"/>
      <c r="BC241" s="2260"/>
      <c r="BD241" s="1648"/>
      <c r="BE241" s="1630"/>
      <c r="BF241" s="1630"/>
      <c r="BG241" s="1630"/>
      <c r="BH241" s="1630"/>
      <c r="BI241" s="1641">
        <v>0</v>
      </c>
    </row>
    <row customHeight="1" ht="14.25">
      <c r="A242" s="1369"/>
      <c r="B242" s="1369"/>
      <c r="C242" s="1369"/>
      <c r="D242" s="1369"/>
      <c r="E242" s="2265"/>
      <c r="F242" s="2265"/>
      <c r="G242" s="2265"/>
      <c r="H242" s="2265"/>
      <c r="I242" s="2292"/>
      <c r="J242" s="2292"/>
      <c r="K242" s="2262" t="str">
        <f>S65&amp;".5"</f>
        <v>2.1.1.5</v>
      </c>
      <c r="L242" s="1375"/>
      <c r="M242" s="1782"/>
      <c r="N242" s="1782"/>
      <c r="O242" s="1782"/>
      <c r="P242" s="2380"/>
      <c r="Q242" s="2380"/>
      <c r="R242" s="2353"/>
      <c r="S242" s="2349"/>
      <c r="T242" s="2368"/>
      <c r="U242" s="306"/>
      <c r="V242" s="4693"/>
      <c r="W242" s="4694" t="str">
        <f>Z217&amp;"-"&amp;AB217</f>
        <v>-</v>
      </c>
      <c r="X242" s="4695"/>
      <c r="Y242" s="4696" t="str">
        <f>AB217&amp;"-"&amp;AD217</f>
        <v>-нет</v>
      </c>
      <c r="Z242" s="4697"/>
      <c r="AA242" s="4698"/>
      <c r="AB242" s="4699"/>
      <c r="AC242" s="4700"/>
      <c r="AD242" s="2118"/>
      <c r="AE242" s="4701"/>
      <c r="AF242" s="4702"/>
      <c r="AG242" s="4703" t="s">
        <v>518</v>
      </c>
      <c r="AH242" s="4704"/>
      <c r="AI242" s="4705"/>
      <c r="AJ242" s="4706"/>
      <c r="AK242" s="4707"/>
      <c r="AL242" s="4708"/>
      <c r="AM242" s="4709"/>
      <c r="AN242" s="4710"/>
      <c r="AO242" s="4711"/>
      <c r="AP242" s="4712"/>
      <c r="AQ242" s="4713"/>
      <c r="AR242" s="4714"/>
      <c r="AS242" s="4715"/>
      <c r="AT242" s="4716"/>
      <c r="AU242" s="4717" t="str">
        <f>AX217&amp;"-"&amp;AZ217</f>
        <v>46023.6190162037-46387.635150462964</v>
      </c>
      <c r="AV242" s="4718"/>
      <c r="AW242" s="4719" t="str">
        <f>AZ217&amp;"-"&amp;BB217</f>
        <v>46387.635150462964-</v>
      </c>
      <c r="AX242" s="4720"/>
      <c r="AY242" s="4721"/>
      <c r="AZ242" s="4722"/>
      <c r="BA242" s="4723"/>
      <c r="BB242" s="4724" t="str">
        <f>BE217&amp;"-"&amp;BG217</f>
        <v>-</v>
      </c>
      <c r="BC242" s="2260"/>
      <c r="BD242" s="1648"/>
      <c r="BE242" s="1630"/>
      <c r="BF242" s="1630" t="str">
        <f>IF(T242="","",T242)</f>
        <v/>
      </c>
      <c r="BG242" s="1630"/>
      <c r="BH242" s="1630"/>
      <c r="BI242" s="1641">
        <v>0</v>
      </c>
    </row>
    <row customHeight="1" ht="14.25">
      <c r="A243" s="1369"/>
      <c r="B243" s="1369"/>
      <c r="C243" s="1369"/>
      <c r="D243" s="1369"/>
      <c r="E243" s="2265"/>
      <c r="F243" s="2265"/>
      <c r="G243" s="2265"/>
      <c r="H243" s="2265"/>
      <c r="I243" s="2292"/>
      <c r="J243" s="2292"/>
      <c r="K243" s="2262" t="str">
        <f>S65&amp;".7"</f>
        <v>2.1.1.7</v>
      </c>
      <c r="L243" s="1375"/>
      <c r="M243" s="1782"/>
      <c r="N243" s="1782"/>
      <c r="O243" s="1782"/>
      <c r="P243" s="2380"/>
      <c r="Q243" s="2380"/>
      <c r="R243" s="689" t="s">
        <v>253</v>
      </c>
      <c r="S243" s="2347" t="str">
        <f>$K243</f>
        <v>2.1.1.7</v>
      </c>
      <c r="T243" s="2366" t="s">
        <v>544</v>
      </c>
      <c r="U243" s="306"/>
      <c r="V243" s="757"/>
      <c r="W243" s="1263"/>
      <c r="X243" s="757"/>
      <c r="Y243" s="1263"/>
      <c r="Z243" s="2608"/>
      <c r="AA243" s="2113" t="s">
        <v>62</v>
      </c>
      <c r="AB243" s="2608"/>
      <c r="AC243" s="2113" t="s">
        <v>62</v>
      </c>
      <c r="AD243" s="2191" t="s">
        <v>19</v>
      </c>
      <c r="AE243" s="2332"/>
      <c r="AF243" s="2443">
        <v>1</v>
      </c>
      <c r="AG243" s="2682" t="s">
        <v>28</v>
      </c>
      <c r="AH243" s="2113" t="s">
        <v>62</v>
      </c>
      <c r="AI243" s="2332"/>
      <c r="AJ243" s="2443">
        <v>1</v>
      </c>
      <c r="AK243" s="2333" t="s">
        <v>533</v>
      </c>
      <c r="AL243" s="2113" t="s">
        <v>19</v>
      </c>
      <c r="AM243" s="2300"/>
      <c r="AN243" s="2443">
        <v>1</v>
      </c>
      <c r="AO243" s="2683" t="s">
        <v>28</v>
      </c>
      <c r="AP243" s="2364" t="s">
        <v>62</v>
      </c>
      <c r="AQ243" s="317"/>
      <c r="AR243" s="2443">
        <v>1</v>
      </c>
      <c r="AS243" s="2582" t="s">
        <v>541</v>
      </c>
      <c r="AT243" s="757"/>
      <c r="AU243" s="1263"/>
      <c r="AV243" s="757"/>
      <c r="AW243" s="1263">
        <v>1494.72</v>
      </c>
      <c r="AX243" s="2608">
        <v>46023.61965277778</v>
      </c>
      <c r="AY243" s="2113" t="s">
        <v>62</v>
      </c>
      <c r="AZ243" s="2608">
        <v>46387.63892361111</v>
      </c>
      <c r="BA243" s="2113" t="s">
        <v>62</v>
      </c>
      <c r="BB243" s="1354"/>
      <c r="BC243" s="2259" t="s">
        <v>514</v>
      </c>
      <c r="BD243" s="1648"/>
      <c r="BE243" s="1630"/>
      <c r="BF243" s="1630" t="str">
        <f>IF(T243="","",T243)</f>
        <v>Наружные инженерные водоводы, разработка грунта в отвал, трубы полиэтиленовые диаметром:</v>
      </c>
      <c r="BG243" s="1630"/>
      <c r="BH243" s="1630"/>
      <c r="BI243" s="1641">
        <v>0</v>
      </c>
    </row>
    <row customHeight="1" ht="14.25">
      <c r="A244" s="1369"/>
      <c r="B244" s="1369"/>
      <c r="C244" s="1369"/>
      <c r="D244" s="1369"/>
      <c r="E244" s="2265"/>
      <c r="F244" s="2265"/>
      <c r="G244" s="2265"/>
      <c r="H244" s="2265"/>
      <c r="I244" s="2292"/>
      <c r="J244" s="2292"/>
      <c r="K244" s="2262" t="str">
        <f>S240&amp;".1"</f>
        <v>.1</v>
      </c>
      <c r="L244" s="1375"/>
      <c r="M244" s="1782"/>
      <c r="N244" s="1782"/>
      <c r="O244" s="1782"/>
      <c r="P244" s="2380"/>
      <c r="Q244" s="2380"/>
      <c r="R244" s="2353">
        <v>1</v>
      </c>
      <c r="S244" s="2347" t="str">
        <f>$K244</f>
        <v>.1</v>
      </c>
      <c r="T244" s="2366"/>
      <c r="U244" s="306"/>
      <c r="V244" s="757"/>
      <c r="W244" s="1263"/>
      <c r="X244" s="757"/>
      <c r="Y244" s="1263"/>
      <c r="Z244" s="2608"/>
      <c r="AA244" s="2113" t="s">
        <v>62</v>
      </c>
      <c r="AB244" s="2608"/>
      <c r="AC244" s="2113" t="s">
        <v>62</v>
      </c>
      <c r="AD244" s="2191" t="s">
        <v>62</v>
      </c>
      <c r="AE244" s="2332"/>
      <c r="AF244" s="2443">
        <v>1</v>
      </c>
      <c r="AG244" s="2369"/>
      <c r="AH244" s="2113" t="s">
        <v>62</v>
      </c>
      <c r="AI244" s="2332"/>
      <c r="AJ244" s="2443">
        <v>1</v>
      </c>
      <c r="AK244" s="2333" t="s">
        <v>28</v>
      </c>
      <c r="AL244" s="2113" t="s">
        <v>62</v>
      </c>
      <c r="AM244" s="2300"/>
      <c r="AN244" s="2443">
        <v>1</v>
      </c>
      <c r="AO244" s="2683" t="s">
        <v>28</v>
      </c>
      <c r="AP244" s="2364" t="s">
        <v>62</v>
      </c>
      <c r="AQ244" s="689" t="s">
        <v>253</v>
      </c>
      <c r="AR244" s="2443" t="s">
        <v>112</v>
      </c>
      <c r="AS244" s="2582" t="s">
        <v>541</v>
      </c>
      <c r="AT244" s="757"/>
      <c r="AU244" s="1263"/>
      <c r="AV244" s="757"/>
      <c r="AW244" s="1263">
        <v>2175.62</v>
      </c>
      <c r="AX244" s="2608">
        <v>46023.6196875</v>
      </c>
      <c r="AY244" s="2113" t="s">
        <v>62</v>
      </c>
      <c r="AZ244" s="2608">
        <v>46387.64059027778</v>
      </c>
      <c r="BA244" s="2113" t="s">
        <v>62</v>
      </c>
      <c r="BB244" s="1354"/>
      <c r="BC244" s="2259" t="s">
        <v>514</v>
      </c>
      <c r="BD244" s="1648"/>
      <c r="BE244" s="1630"/>
      <c r="BF244" s="1630" t="str">
        <f>IF(T244="","",T244)</f>
        <v/>
      </c>
      <c r="BG244" s="1630"/>
      <c r="BH244" s="1630"/>
      <c r="BI244" s="1641">
        <v>0</v>
      </c>
    </row>
    <row customHeight="1" ht="14.25">
      <c r="A245" s="1369"/>
      <c r="B245" s="1369"/>
      <c r="C245" s="1369"/>
      <c r="D245" s="1369"/>
      <c r="E245" s="2265"/>
      <c r="F245" s="2265"/>
      <c r="G245" s="2265"/>
      <c r="H245" s="2265"/>
      <c r="I245" s="2292"/>
      <c r="J245" s="2292"/>
      <c r="K245" s="2262" t="str">
        <f>S241&amp;".1"</f>
        <v>.1</v>
      </c>
      <c r="L245" s="1375"/>
      <c r="M245" s="1782"/>
      <c r="N245" s="1782"/>
      <c r="O245" s="1782"/>
      <c r="P245" s="2380"/>
      <c r="Q245" s="2380"/>
      <c r="R245" s="2353">
        <v>1</v>
      </c>
      <c r="S245" s="2347" t="str">
        <f>$K245</f>
        <v>.1</v>
      </c>
      <c r="T245" s="2366"/>
      <c r="U245" s="306"/>
      <c r="V245" s="757"/>
      <c r="W245" s="1263"/>
      <c r="X245" s="757"/>
      <c r="Y245" s="1263"/>
      <c r="Z245" s="2608"/>
      <c r="AA245" s="2113" t="s">
        <v>62</v>
      </c>
      <c r="AB245" s="2608"/>
      <c r="AC245" s="2113" t="s">
        <v>62</v>
      </c>
      <c r="AD245" s="2191" t="s">
        <v>62</v>
      </c>
      <c r="AE245" s="2332"/>
      <c r="AF245" s="2443">
        <v>1</v>
      </c>
      <c r="AG245" s="2369"/>
      <c r="AH245" s="2113" t="s">
        <v>62</v>
      </c>
      <c r="AI245" s="2332"/>
      <c r="AJ245" s="2443">
        <v>1</v>
      </c>
      <c r="AK245" s="2333" t="s">
        <v>28</v>
      </c>
      <c r="AL245" s="2113" t="s">
        <v>62</v>
      </c>
      <c r="AM245" s="2300"/>
      <c r="AN245" s="2443">
        <v>1</v>
      </c>
      <c r="AO245" s="2683" t="s">
        <v>28</v>
      </c>
      <c r="AP245" s="2364" t="s">
        <v>62</v>
      </c>
      <c r="AQ245" s="689" t="s">
        <v>253</v>
      </c>
      <c r="AR245" s="2443" t="s">
        <v>91</v>
      </c>
      <c r="AS245" s="2582" t="s">
        <v>541</v>
      </c>
      <c r="AT245" s="757"/>
      <c r="AU245" s="1263"/>
      <c r="AV245" s="757"/>
      <c r="AW245" s="1263">
        <v>2121.53</v>
      </c>
      <c r="AX245" s="2608">
        <v>46023.61971064815</v>
      </c>
      <c r="AY245" s="2113" t="s">
        <v>62</v>
      </c>
      <c r="AZ245" s="2608">
        <v>46387.64068287037</v>
      </c>
      <c r="BA245" s="2113" t="s">
        <v>62</v>
      </c>
      <c r="BB245" s="1354"/>
      <c r="BC245" s="2259" t="s">
        <v>514</v>
      </c>
      <c r="BD245" s="1648"/>
      <c r="BE245" s="1630"/>
      <c r="BF245" s="1630" t="str">
        <f>IF(T245="","",T245)</f>
        <v/>
      </c>
      <c r="BG245" s="1630"/>
      <c r="BH245" s="1630"/>
      <c r="BI245" s="1641">
        <v>0</v>
      </c>
    </row>
    <row customHeight="1" ht="14.25">
      <c r="A246" s="1369"/>
      <c r="B246" s="1369"/>
      <c r="C246" s="1369"/>
      <c r="D246" s="1369"/>
      <c r="E246" s="2265"/>
      <c r="F246" s="2265"/>
      <c r="G246" s="2265"/>
      <c r="H246" s="2265"/>
      <c r="I246" s="2292"/>
      <c r="J246" s="2292"/>
      <c r="K246" s="2262" t="str">
        <f>S242&amp;".1"</f>
        <v>.1</v>
      </c>
      <c r="L246" s="1375"/>
      <c r="M246" s="1782"/>
      <c r="N246" s="1782"/>
      <c r="O246" s="1782"/>
      <c r="P246" s="2380"/>
      <c r="Q246" s="2380"/>
      <c r="R246" s="2353">
        <v>1</v>
      </c>
      <c r="S246" s="2347" t="str">
        <f>$K246</f>
        <v>.1</v>
      </c>
      <c r="T246" s="2366"/>
      <c r="U246" s="306"/>
      <c r="V246" s="757"/>
      <c r="W246" s="1263"/>
      <c r="X246" s="757"/>
      <c r="Y246" s="1263"/>
      <c r="Z246" s="2608"/>
      <c r="AA246" s="2113" t="s">
        <v>62</v>
      </c>
      <c r="AB246" s="2608"/>
      <c r="AC246" s="2113" t="s">
        <v>62</v>
      </c>
      <c r="AD246" s="2191" t="s">
        <v>62</v>
      </c>
      <c r="AE246" s="2332"/>
      <c r="AF246" s="2443">
        <v>1</v>
      </c>
      <c r="AG246" s="2369"/>
      <c r="AH246" s="2113" t="s">
        <v>62</v>
      </c>
      <c r="AI246" s="2332"/>
      <c r="AJ246" s="2443">
        <v>1</v>
      </c>
      <c r="AK246" s="2333" t="s">
        <v>28</v>
      </c>
      <c r="AL246" s="2113" t="s">
        <v>62</v>
      </c>
      <c r="AM246" s="2300"/>
      <c r="AN246" s="2443">
        <v>1</v>
      </c>
      <c r="AO246" s="2683" t="s">
        <v>28</v>
      </c>
      <c r="AP246" s="2364" t="s">
        <v>62</v>
      </c>
      <c r="AQ246" s="689" t="s">
        <v>253</v>
      </c>
      <c r="AR246" s="2443" t="s">
        <v>92</v>
      </c>
      <c r="AS246" s="2582" t="s">
        <v>541</v>
      </c>
      <c r="AT246" s="757"/>
      <c r="AU246" s="1263"/>
      <c r="AV246" s="757"/>
      <c r="AW246" s="1263">
        <v>3087.96</v>
      </c>
      <c r="AX246" s="2608">
        <v>46023.61975694444</v>
      </c>
      <c r="AY246" s="2113" t="s">
        <v>62</v>
      </c>
      <c r="AZ246" s="2608">
        <v>46387.64076388889</v>
      </c>
      <c r="BA246" s="2113" t="s">
        <v>62</v>
      </c>
      <c r="BB246" s="1354"/>
      <c r="BC246" s="2259" t="s">
        <v>514</v>
      </c>
      <c r="BD246" s="1648"/>
      <c r="BE246" s="1630"/>
      <c r="BF246" s="1630" t="str">
        <f>IF(T246="","",T246)</f>
        <v/>
      </c>
      <c r="BG246" s="1630"/>
      <c r="BH246" s="1630"/>
      <c r="BI246" s="1641">
        <v>0</v>
      </c>
    </row>
    <row customHeight="1" ht="14.25">
      <c r="A247" s="1369"/>
      <c r="B247" s="1369"/>
      <c r="C247" s="1369"/>
      <c r="D247" s="1369"/>
      <c r="E247" s="2265"/>
      <c r="F247" s="2265"/>
      <c r="G247" s="2265"/>
      <c r="H247" s="2265"/>
      <c r="I247" s="2292"/>
      <c r="J247" s="2292"/>
      <c r="K247" s="2262" t="str">
        <f>S65&amp;".6"</f>
        <v>2.1.1.6</v>
      </c>
      <c r="L247" s="1375"/>
      <c r="M247" s="1782"/>
      <c r="N247" s="1782"/>
      <c r="O247" s="1782"/>
      <c r="P247" s="2380"/>
      <c r="Q247" s="2380"/>
      <c r="R247" s="2353"/>
      <c r="S247" s="2348"/>
      <c r="T247" s="2367"/>
      <c r="U247" s="306"/>
      <c r="V247" s="4725"/>
      <c r="W247" s="4726"/>
      <c r="X247" s="4727"/>
      <c r="Y247" s="4728"/>
      <c r="Z247" s="4729"/>
      <c r="AA247" s="4730"/>
      <c r="AB247" s="4731"/>
      <c r="AC247" s="4732"/>
      <c r="AD247" s="2192"/>
      <c r="AE247" s="2332"/>
      <c r="AF247" s="2443"/>
      <c r="AG247" s="2682" t="s">
        <v>28</v>
      </c>
      <c r="AH247" s="2113"/>
      <c r="AI247" s="2332"/>
      <c r="AJ247" s="2443"/>
      <c r="AK247" s="2333"/>
      <c r="AL247" s="2113"/>
      <c r="AM247" s="2301"/>
      <c r="AN247" s="2443"/>
      <c r="AO247" s="2683" t="s">
        <v>28</v>
      </c>
      <c r="AP247" s="2365"/>
      <c r="AQ247" s="4733"/>
      <c r="AR247" s="4734"/>
      <c r="AS247" s="4735" t="s">
        <v>515</v>
      </c>
      <c r="AT247" s="4736"/>
      <c r="AU247" s="4737"/>
      <c r="AV247" s="4738"/>
      <c r="AW247" s="4739"/>
      <c r="AX247" s="4740"/>
      <c r="AY247" s="4741"/>
      <c r="AZ247" s="4742"/>
      <c r="BA247" s="4743"/>
      <c r="BB247" s="4744"/>
      <c r="BC247" s="2260"/>
      <c r="BD247" s="1648"/>
      <c r="BE247" s="1630"/>
      <c r="BF247" s="1630"/>
      <c r="BG247" s="1630"/>
      <c r="BH247" s="1630"/>
      <c r="BI247" s="1641">
        <v>0</v>
      </c>
    </row>
    <row customHeight="1" ht="14.25">
      <c r="A248" s="1369"/>
      <c r="B248" s="1369"/>
      <c r="C248" s="1369"/>
      <c r="D248" s="1369"/>
      <c r="E248" s="2265"/>
      <c r="F248" s="2265"/>
      <c r="G248" s="2265"/>
      <c r="H248" s="2265"/>
      <c r="I248" s="2292"/>
      <c r="J248" s="2292"/>
      <c r="K248" s="2262" t="str">
        <f>S65&amp;".6"</f>
        <v>2.1.1.6</v>
      </c>
      <c r="L248" s="1375"/>
      <c r="M248" s="1782"/>
      <c r="N248" s="1782"/>
      <c r="O248" s="1782"/>
      <c r="P248" s="2380"/>
      <c r="Q248" s="2380"/>
      <c r="R248" s="2353"/>
      <c r="S248" s="2348"/>
      <c r="T248" s="2367"/>
      <c r="U248" s="306"/>
      <c r="V248" s="4745"/>
      <c r="W248" s="4746"/>
      <c r="X248" s="4747"/>
      <c r="Y248" s="4748"/>
      <c r="Z248" s="4749"/>
      <c r="AA248" s="4750"/>
      <c r="AB248" s="4751"/>
      <c r="AC248" s="4752"/>
      <c r="AD248" s="2192"/>
      <c r="AE248" s="2332"/>
      <c r="AF248" s="2443"/>
      <c r="AG248" s="2682" t="s">
        <v>28</v>
      </c>
      <c r="AH248" s="2113"/>
      <c r="AI248" s="2332"/>
      <c r="AJ248" s="2443"/>
      <c r="AK248" s="2333"/>
      <c r="AL248" s="2113"/>
      <c r="AM248" s="4753"/>
      <c r="AN248" s="4754"/>
      <c r="AO248" s="4755" t="s">
        <v>516</v>
      </c>
      <c r="AP248" s="4756"/>
      <c r="AQ248" s="4757"/>
      <c r="AR248" s="4758"/>
      <c r="AS248" s="4759"/>
      <c r="AT248" s="4760"/>
      <c r="AU248" s="4761"/>
      <c r="AV248" s="4762"/>
      <c r="AW248" s="4763"/>
      <c r="AX248" s="4764"/>
      <c r="AY248" s="4765"/>
      <c r="AZ248" s="4766"/>
      <c r="BA248" s="4767"/>
      <c r="BB248" s="4768"/>
      <c r="BC248" s="2260"/>
      <c r="BD248" s="1648"/>
      <c r="BE248" s="1630"/>
      <c r="BF248" s="1630"/>
      <c r="BG248" s="1630"/>
      <c r="BH248" s="1630"/>
      <c r="BI248" s="1641">
        <v>0</v>
      </c>
    </row>
    <row customHeight="1" ht="14.25">
      <c r="A249" s="1369"/>
      <c r="B249" s="1369"/>
      <c r="C249" s="1369"/>
      <c r="D249" s="1369"/>
      <c r="E249" s="2265"/>
      <c r="F249" s="2265"/>
      <c r="G249" s="2265"/>
      <c r="H249" s="2265"/>
      <c r="I249" s="2292"/>
      <c r="J249" s="2292"/>
      <c r="K249" s="2262" t="str">
        <f>S242&amp;".1"</f>
        <v>.1</v>
      </c>
      <c r="L249" s="1375"/>
      <c r="M249" s="1782"/>
      <c r="N249" s="1782"/>
      <c r="O249" s="1782"/>
      <c r="P249" s="2380"/>
      <c r="Q249" s="2380"/>
      <c r="R249" s="2353">
        <v>1</v>
      </c>
      <c r="S249" s="2347" t="str">
        <f>$K249</f>
        <v>.1</v>
      </c>
      <c r="T249" s="2366"/>
      <c r="U249" s="306"/>
      <c r="V249" s="757"/>
      <c r="W249" s="1263"/>
      <c r="X249" s="757"/>
      <c r="Y249" s="1263"/>
      <c r="Z249" s="2608"/>
      <c r="AA249" s="2113" t="s">
        <v>62</v>
      </c>
      <c r="AB249" s="2608"/>
      <c r="AC249" s="2113" t="s">
        <v>62</v>
      </c>
      <c r="AD249" s="2191" t="s">
        <v>62</v>
      </c>
      <c r="AE249" s="2332"/>
      <c r="AF249" s="2443">
        <v>1</v>
      </c>
      <c r="AG249" s="2369"/>
      <c r="AH249" s="2113" t="s">
        <v>62</v>
      </c>
      <c r="AI249" s="689" t="s">
        <v>253</v>
      </c>
      <c r="AJ249" s="2443" t="s">
        <v>112</v>
      </c>
      <c r="AK249" s="2333" t="s">
        <v>534</v>
      </c>
      <c r="AL249" s="2113" t="s">
        <v>19</v>
      </c>
      <c r="AM249" s="2300"/>
      <c r="AN249" s="2443">
        <v>1</v>
      </c>
      <c r="AO249" s="2683" t="s">
        <v>28</v>
      </c>
      <c r="AP249" s="2364" t="s">
        <v>62</v>
      </c>
      <c r="AQ249" s="317"/>
      <c r="AR249" s="2443">
        <v>1</v>
      </c>
      <c r="AS249" s="2582" t="s">
        <v>541</v>
      </c>
      <c r="AT249" s="757"/>
      <c r="AU249" s="1263"/>
      <c r="AV249" s="757"/>
      <c r="AW249" s="1263">
        <v>4821.61</v>
      </c>
      <c r="AX249" s="2608">
        <v>46023.619791666664</v>
      </c>
      <c r="AY249" s="2113" t="s">
        <v>62</v>
      </c>
      <c r="AZ249" s="2608">
        <v>46387.640856481485</v>
      </c>
      <c r="BA249" s="2113" t="s">
        <v>62</v>
      </c>
      <c r="BB249" s="1354"/>
      <c r="BC249" s="2259" t="s">
        <v>514</v>
      </c>
      <c r="BD249" s="1648"/>
      <c r="BE249" s="1630"/>
      <c r="BF249" s="1630" t="str">
        <f>IF(T249="","",T249)</f>
        <v/>
      </c>
      <c r="BG249" s="1630"/>
      <c r="BH249" s="1630"/>
      <c r="BI249" s="1641">
        <v>0</v>
      </c>
    </row>
    <row customHeight="1" ht="14.25">
      <c r="A250" s="1369"/>
      <c r="B250" s="1369"/>
      <c r="C250" s="1369"/>
      <c r="D250" s="1369"/>
      <c r="E250" s="2265"/>
      <c r="F250" s="2265"/>
      <c r="G250" s="2265"/>
      <c r="H250" s="2265"/>
      <c r="I250" s="2292"/>
      <c r="J250" s="2292"/>
      <c r="K250" s="2262" t="str">
        <f>S246&amp;".1"</f>
        <v>.1.1</v>
      </c>
      <c r="L250" s="1375"/>
      <c r="M250" s="1782"/>
      <c r="N250" s="1782"/>
      <c r="O250" s="1782"/>
      <c r="P250" s="2380"/>
      <c r="Q250" s="2380"/>
      <c r="R250" s="2353">
        <v>1</v>
      </c>
      <c r="S250" s="2347" t="str">
        <f>$K250</f>
        <v>.1.1</v>
      </c>
      <c r="T250" s="2366"/>
      <c r="U250" s="306"/>
      <c r="V250" s="757"/>
      <c r="W250" s="1263"/>
      <c r="X250" s="757"/>
      <c r="Y250" s="1263"/>
      <c r="Z250" s="2608"/>
      <c r="AA250" s="2113" t="s">
        <v>62</v>
      </c>
      <c r="AB250" s="2608"/>
      <c r="AC250" s="2113" t="s">
        <v>62</v>
      </c>
      <c r="AD250" s="2191" t="s">
        <v>62</v>
      </c>
      <c r="AE250" s="2332"/>
      <c r="AF250" s="2443">
        <v>1</v>
      </c>
      <c r="AG250" s="2369"/>
      <c r="AH250" s="2113" t="s">
        <v>62</v>
      </c>
      <c r="AI250" s="2332"/>
      <c r="AJ250" s="2443">
        <v>1</v>
      </c>
      <c r="AK250" s="2333" t="s">
        <v>28</v>
      </c>
      <c r="AL250" s="2113" t="s">
        <v>62</v>
      </c>
      <c r="AM250" s="2300"/>
      <c r="AN250" s="2443">
        <v>1</v>
      </c>
      <c r="AO250" s="2683" t="s">
        <v>28</v>
      </c>
      <c r="AP250" s="2364" t="s">
        <v>62</v>
      </c>
      <c r="AQ250" s="689" t="s">
        <v>253</v>
      </c>
      <c r="AR250" s="2443" t="s">
        <v>112</v>
      </c>
      <c r="AS250" s="2582" t="s">
        <v>541</v>
      </c>
      <c r="AT250" s="757"/>
      <c r="AU250" s="1263"/>
      <c r="AV250" s="757"/>
      <c r="AW250" s="1263">
        <v>7018.1</v>
      </c>
      <c r="AX250" s="2608">
        <v>46023.619837962964</v>
      </c>
      <c r="AY250" s="2113" t="s">
        <v>62</v>
      </c>
      <c r="AZ250" s="2608">
        <v>46387.64094907408</v>
      </c>
      <c r="BA250" s="2113" t="s">
        <v>62</v>
      </c>
      <c r="BB250" s="1354"/>
      <c r="BC250" s="2259" t="s">
        <v>514</v>
      </c>
      <c r="BD250" s="1648"/>
      <c r="BE250" s="1630"/>
      <c r="BF250" s="1630" t="str">
        <f>IF(T250="","",T250)</f>
        <v/>
      </c>
      <c r="BG250" s="1630"/>
      <c r="BH250" s="1630"/>
      <c r="BI250" s="1641">
        <v>0</v>
      </c>
    </row>
    <row customHeight="1" ht="14.25">
      <c r="A251" s="1369"/>
      <c r="B251" s="1369"/>
      <c r="C251" s="1369"/>
      <c r="D251" s="1369"/>
      <c r="E251" s="2265"/>
      <c r="F251" s="2265"/>
      <c r="G251" s="2265"/>
      <c r="H251" s="2265"/>
      <c r="I251" s="2292"/>
      <c r="J251" s="2292"/>
      <c r="K251" s="2262"/>
      <c r="L251" s="1375"/>
      <c r="M251" s="1782"/>
      <c r="N251" s="1782"/>
      <c r="O251" s="1782"/>
      <c r="P251" s="2380"/>
      <c r="Q251" s="2380"/>
      <c r="R251" s="2353"/>
      <c r="S251" s="2348"/>
      <c r="T251" s="2367"/>
      <c r="U251" s="306"/>
      <c r="V251" s="4769"/>
      <c r="W251" s="4770"/>
      <c r="X251" s="4771"/>
      <c r="Y251" s="4772"/>
      <c r="Z251" s="4773"/>
      <c r="AA251" s="4774"/>
      <c r="AB251" s="4775"/>
      <c r="AC251" s="4776"/>
      <c r="AD251" s="2192"/>
      <c r="AE251" s="2332"/>
      <c r="AF251" s="2443"/>
      <c r="AG251" s="2369"/>
      <c r="AH251" s="2113"/>
      <c r="AI251" s="2332"/>
      <c r="AJ251" s="2443">
        <v>1</v>
      </c>
      <c r="AK251" s="2333"/>
      <c r="AL251" s="2113"/>
      <c r="AM251" s="2301"/>
      <c r="AN251" s="2443"/>
      <c r="AO251" s="2683" t="s">
        <v>28</v>
      </c>
      <c r="AP251" s="2365"/>
      <c r="AQ251" s="4777"/>
      <c r="AR251" s="4778"/>
      <c r="AS251" s="4779" t="s">
        <v>515</v>
      </c>
      <c r="AT251" s="4780"/>
      <c r="AU251" s="4781"/>
      <c r="AV251" s="4782"/>
      <c r="AW251" s="4783"/>
      <c r="AX251" s="4784"/>
      <c r="AY251" s="4785"/>
      <c r="AZ251" s="4786"/>
      <c r="BA251" s="4787"/>
      <c r="BB251" s="4788"/>
      <c r="BC251" s="2260"/>
      <c r="BD251" s="1648"/>
      <c r="BE251" s="1630"/>
      <c r="BF251" s="1630"/>
      <c r="BG251" s="1630"/>
      <c r="BH251" s="1630"/>
      <c r="BI251" s="1641">
        <v>0</v>
      </c>
    </row>
    <row customHeight="1" ht="14.25">
      <c r="A252" s="1369"/>
      <c r="B252" s="1369"/>
      <c r="C252" s="1369"/>
      <c r="D252" s="1369"/>
      <c r="E252" s="2265"/>
      <c r="F252" s="2265"/>
      <c r="G252" s="2265"/>
      <c r="H252" s="2265"/>
      <c r="I252" s="2292"/>
      <c r="J252" s="2292"/>
      <c r="K252" s="2262"/>
      <c r="L252" s="1375"/>
      <c r="M252" s="1782"/>
      <c r="N252" s="1782"/>
      <c r="O252" s="1782"/>
      <c r="P252" s="2380"/>
      <c r="Q252" s="2380"/>
      <c r="R252" s="2353"/>
      <c r="S252" s="2348"/>
      <c r="T252" s="2367"/>
      <c r="U252" s="306"/>
      <c r="V252" s="4789"/>
      <c r="W252" s="4790"/>
      <c r="X252" s="4791"/>
      <c r="Y252" s="4792"/>
      <c r="Z252" s="4793"/>
      <c r="AA252" s="4794"/>
      <c r="AB252" s="4795"/>
      <c r="AC252" s="4796"/>
      <c r="AD252" s="2192"/>
      <c r="AE252" s="2332"/>
      <c r="AF252" s="2443"/>
      <c r="AG252" s="2369"/>
      <c r="AH252" s="2113"/>
      <c r="AI252" s="2332"/>
      <c r="AJ252" s="2443">
        <v>1</v>
      </c>
      <c r="AK252" s="2333"/>
      <c r="AL252" s="2113"/>
      <c r="AM252" s="4797"/>
      <c r="AN252" s="4798"/>
      <c r="AO252" s="4799" t="s">
        <v>516</v>
      </c>
      <c r="AP252" s="4800"/>
      <c r="AQ252" s="4801"/>
      <c r="AR252" s="4802"/>
      <c r="AS252" s="4803"/>
      <c r="AT252" s="4804"/>
      <c r="AU252" s="4805"/>
      <c r="AV252" s="4806"/>
      <c r="AW252" s="4807"/>
      <c r="AX252" s="4808"/>
      <c r="AY252" s="4809"/>
      <c r="AZ252" s="4810"/>
      <c r="BA252" s="4811"/>
      <c r="BB252" s="4812"/>
      <c r="BC252" s="2260"/>
      <c r="BD252" s="1648"/>
      <c r="BE252" s="1630"/>
      <c r="BF252" s="1630"/>
      <c r="BG252" s="1630"/>
      <c r="BH252" s="1630"/>
      <c r="BI252" s="1641">
        <v>0</v>
      </c>
    </row>
    <row customHeight="1" ht="14.25">
      <c r="A253" s="1369"/>
      <c r="B253" s="1369"/>
      <c r="C253" s="1369"/>
      <c r="D253" s="1369"/>
      <c r="E253" s="2265"/>
      <c r="F253" s="2265"/>
      <c r="G253" s="2265"/>
      <c r="H253" s="2265"/>
      <c r="I253" s="2292"/>
      <c r="J253" s="2292"/>
      <c r="K253" s="2262" t="str">
        <f>S248&amp;".1"</f>
        <v>.1</v>
      </c>
      <c r="L253" s="1375"/>
      <c r="M253" s="1782"/>
      <c r="N253" s="1782"/>
      <c r="O253" s="1782"/>
      <c r="P253" s="2380"/>
      <c r="Q253" s="2380"/>
      <c r="R253" s="2353">
        <v>1</v>
      </c>
      <c r="S253" s="2347" t="str">
        <f>$K253</f>
        <v>.1</v>
      </c>
      <c r="T253" s="2366"/>
      <c r="U253" s="306"/>
      <c r="V253" s="757"/>
      <c r="W253" s="1263"/>
      <c r="X253" s="757"/>
      <c r="Y253" s="1263"/>
      <c r="Z253" s="2608"/>
      <c r="AA253" s="2113" t="s">
        <v>62</v>
      </c>
      <c r="AB253" s="2608"/>
      <c r="AC253" s="2113" t="s">
        <v>62</v>
      </c>
      <c r="AD253" s="2191" t="s">
        <v>62</v>
      </c>
      <c r="AE253" s="2332"/>
      <c r="AF253" s="2443">
        <v>1</v>
      </c>
      <c r="AG253" s="2369"/>
      <c r="AH253" s="2113" t="s">
        <v>62</v>
      </c>
      <c r="AI253" s="689" t="s">
        <v>253</v>
      </c>
      <c r="AJ253" s="2443" t="s">
        <v>91</v>
      </c>
      <c r="AK253" s="2333" t="s">
        <v>535</v>
      </c>
      <c r="AL253" s="2113" t="s">
        <v>19</v>
      </c>
      <c r="AM253" s="2300"/>
      <c r="AN253" s="2443">
        <v>1</v>
      </c>
      <c r="AO253" s="2683" t="s">
        <v>28</v>
      </c>
      <c r="AP253" s="2364" t="s">
        <v>62</v>
      </c>
      <c r="AQ253" s="317"/>
      <c r="AR253" s="2443">
        <v>1</v>
      </c>
      <c r="AS253" s="2582" t="s">
        <v>541</v>
      </c>
      <c r="AT253" s="757"/>
      <c r="AU253" s="1263"/>
      <c r="AV253" s="757"/>
      <c r="AW253" s="1263">
        <v>5429.15</v>
      </c>
      <c r="AX253" s="2608">
        <v>46023.61988425926</v>
      </c>
      <c r="AY253" s="2113" t="s">
        <v>62</v>
      </c>
      <c r="AZ253" s="2608">
        <v>46387.641064814816</v>
      </c>
      <c r="BA253" s="2113" t="s">
        <v>62</v>
      </c>
      <c r="BB253" s="1354"/>
      <c r="BC253" s="2259" t="s">
        <v>514</v>
      </c>
      <c r="BD253" s="1648"/>
      <c r="BE253" s="1630"/>
      <c r="BF253" s="1630" t="str">
        <f>IF(T253="","",T253)</f>
        <v/>
      </c>
      <c r="BG253" s="1630"/>
      <c r="BH253" s="1630"/>
      <c r="BI253" s="1641">
        <v>0</v>
      </c>
    </row>
    <row customHeight="1" ht="14.25">
      <c r="A254" s="1369"/>
      <c r="B254" s="1369"/>
      <c r="C254" s="1369"/>
      <c r="D254" s="1369"/>
      <c r="E254" s="2265"/>
      <c r="F254" s="2265"/>
      <c r="G254" s="2265"/>
      <c r="H254" s="2265"/>
      <c r="I254" s="2292"/>
      <c r="J254" s="2292"/>
      <c r="K254" s="2262" t="str">
        <f>S250&amp;".1"</f>
        <v>.1.1.1</v>
      </c>
      <c r="L254" s="1375"/>
      <c r="M254" s="1782"/>
      <c r="N254" s="1782"/>
      <c r="O254" s="1782"/>
      <c r="P254" s="2380"/>
      <c r="Q254" s="2380"/>
      <c r="R254" s="2353">
        <v>1</v>
      </c>
      <c r="S254" s="2347" t="str">
        <f>$K254</f>
        <v>.1.1.1</v>
      </c>
      <c r="T254" s="2366"/>
      <c r="U254" s="306"/>
      <c r="V254" s="757"/>
      <c r="W254" s="1263"/>
      <c r="X254" s="757"/>
      <c r="Y254" s="1263"/>
      <c r="Z254" s="2608"/>
      <c r="AA254" s="2113" t="s">
        <v>62</v>
      </c>
      <c r="AB254" s="2608"/>
      <c r="AC254" s="2113" t="s">
        <v>62</v>
      </c>
      <c r="AD254" s="2191" t="s">
        <v>62</v>
      </c>
      <c r="AE254" s="2332"/>
      <c r="AF254" s="2443">
        <v>1</v>
      </c>
      <c r="AG254" s="2369"/>
      <c r="AH254" s="2113" t="s">
        <v>62</v>
      </c>
      <c r="AI254" s="2332"/>
      <c r="AJ254" s="2443">
        <v>1</v>
      </c>
      <c r="AK254" s="2333" t="s">
        <v>28</v>
      </c>
      <c r="AL254" s="2113" t="s">
        <v>62</v>
      </c>
      <c r="AM254" s="2300"/>
      <c r="AN254" s="2443">
        <v>1</v>
      </c>
      <c r="AO254" s="2683" t="s">
        <v>28</v>
      </c>
      <c r="AP254" s="2364" t="s">
        <v>62</v>
      </c>
      <c r="AQ254" s="689" t="s">
        <v>253</v>
      </c>
      <c r="AR254" s="2443" t="s">
        <v>112</v>
      </c>
      <c r="AS254" s="2582" t="s">
        <v>541</v>
      </c>
      <c r="AT254" s="757"/>
      <c r="AU254" s="1263"/>
      <c r="AV254" s="757"/>
      <c r="AW254" s="1263">
        <v>7675</v>
      </c>
      <c r="AX254" s="2608">
        <v>46023.61991898148</v>
      </c>
      <c r="AY254" s="2113" t="s">
        <v>62</v>
      </c>
      <c r="AZ254" s="2608">
        <v>46387.641168981485</v>
      </c>
      <c r="BA254" s="2113" t="s">
        <v>62</v>
      </c>
      <c r="BB254" s="1354"/>
      <c r="BC254" s="2259" t="s">
        <v>514</v>
      </c>
      <c r="BD254" s="1648"/>
      <c r="BE254" s="1630"/>
      <c r="BF254" s="1630" t="str">
        <f>IF(T254="","",T254)</f>
        <v/>
      </c>
      <c r="BG254" s="1630"/>
      <c r="BH254" s="1630"/>
      <c r="BI254" s="1641">
        <v>0</v>
      </c>
    </row>
    <row customHeight="1" ht="14.25">
      <c r="A255" s="1369"/>
      <c r="B255" s="1369"/>
      <c r="C255" s="1369"/>
      <c r="D255" s="1369"/>
      <c r="E255" s="2265"/>
      <c r="F255" s="2265"/>
      <c r="G255" s="2265"/>
      <c r="H255" s="2265"/>
      <c r="I255" s="2292"/>
      <c r="J255" s="2292"/>
      <c r="K255" s="2262" t="str">
        <f>S251&amp;".1"</f>
        <v>.1</v>
      </c>
      <c r="L255" s="1375"/>
      <c r="M255" s="1782"/>
      <c r="N255" s="1782"/>
      <c r="O255" s="1782"/>
      <c r="P255" s="2380"/>
      <c r="Q255" s="2380"/>
      <c r="R255" s="2353">
        <v>1</v>
      </c>
      <c r="S255" s="2347" t="str">
        <f>$K255</f>
        <v>.1</v>
      </c>
      <c r="T255" s="2366"/>
      <c r="U255" s="306"/>
      <c r="V255" s="757"/>
      <c r="W255" s="1263"/>
      <c r="X255" s="757"/>
      <c r="Y255" s="1263"/>
      <c r="Z255" s="2608"/>
      <c r="AA255" s="2113" t="s">
        <v>62</v>
      </c>
      <c r="AB255" s="2608"/>
      <c r="AC255" s="2113" t="s">
        <v>62</v>
      </c>
      <c r="AD255" s="2191" t="s">
        <v>62</v>
      </c>
      <c r="AE255" s="2332"/>
      <c r="AF255" s="2443">
        <v>1</v>
      </c>
      <c r="AG255" s="2369"/>
      <c r="AH255" s="2113" t="s">
        <v>62</v>
      </c>
      <c r="AI255" s="2332"/>
      <c r="AJ255" s="2443">
        <v>1</v>
      </c>
      <c r="AK255" s="2333" t="s">
        <v>28</v>
      </c>
      <c r="AL255" s="2113" t="s">
        <v>62</v>
      </c>
      <c r="AM255" s="2300"/>
      <c r="AN255" s="2443">
        <v>1</v>
      </c>
      <c r="AO255" s="2683" t="s">
        <v>28</v>
      </c>
      <c r="AP255" s="2364" t="s">
        <v>62</v>
      </c>
      <c r="AQ255" s="689" t="s">
        <v>253</v>
      </c>
      <c r="AR255" s="2443" t="s">
        <v>91</v>
      </c>
      <c r="AS255" s="2582" t="s">
        <v>541</v>
      </c>
      <c r="AT255" s="757"/>
      <c r="AU255" s="1263"/>
      <c r="AV255" s="757"/>
      <c r="AW255" s="1263">
        <v>6344.99</v>
      </c>
      <c r="AX255" s="2608">
        <v>46023.6199537037</v>
      </c>
      <c r="AY255" s="2113" t="s">
        <v>62</v>
      </c>
      <c r="AZ255" s="2608">
        <v>46387.641284722224</v>
      </c>
      <c r="BA255" s="2113" t="s">
        <v>62</v>
      </c>
      <c r="BB255" s="1354"/>
      <c r="BC255" s="2259" t="s">
        <v>514</v>
      </c>
      <c r="BD255" s="1648"/>
      <c r="BE255" s="1630"/>
      <c r="BF255" s="1630" t="str">
        <f>IF(T255="","",T255)</f>
        <v/>
      </c>
      <c r="BG255" s="1630"/>
      <c r="BH255" s="1630"/>
      <c r="BI255" s="1641">
        <v>0</v>
      </c>
    </row>
    <row customHeight="1" ht="14.25">
      <c r="A256" s="1369"/>
      <c r="B256" s="1369"/>
      <c r="C256" s="1369"/>
      <c r="D256" s="1369"/>
      <c r="E256" s="2265"/>
      <c r="F256" s="2265"/>
      <c r="G256" s="2265"/>
      <c r="H256" s="2265"/>
      <c r="I256" s="2292"/>
      <c r="J256" s="2292"/>
      <c r="K256" s="2262" t="str">
        <f>S252&amp;".1"</f>
        <v>.1</v>
      </c>
      <c r="L256" s="1375"/>
      <c r="M256" s="1782"/>
      <c r="N256" s="1782"/>
      <c r="O256" s="1782"/>
      <c r="P256" s="2380"/>
      <c r="Q256" s="2380"/>
      <c r="R256" s="2353">
        <v>1</v>
      </c>
      <c r="S256" s="2347" t="str">
        <f>$K256</f>
        <v>.1</v>
      </c>
      <c r="T256" s="2366"/>
      <c r="U256" s="306"/>
      <c r="V256" s="757"/>
      <c r="W256" s="1263"/>
      <c r="X256" s="757"/>
      <c r="Y256" s="1263"/>
      <c r="Z256" s="2608"/>
      <c r="AA256" s="2113" t="s">
        <v>62</v>
      </c>
      <c r="AB256" s="2608"/>
      <c r="AC256" s="2113" t="s">
        <v>62</v>
      </c>
      <c r="AD256" s="2191" t="s">
        <v>62</v>
      </c>
      <c r="AE256" s="2332"/>
      <c r="AF256" s="2443">
        <v>1</v>
      </c>
      <c r="AG256" s="2369"/>
      <c r="AH256" s="2113" t="s">
        <v>62</v>
      </c>
      <c r="AI256" s="2332"/>
      <c r="AJ256" s="2443">
        <v>1</v>
      </c>
      <c r="AK256" s="2333" t="s">
        <v>28</v>
      </c>
      <c r="AL256" s="2113" t="s">
        <v>62</v>
      </c>
      <c r="AM256" s="2300"/>
      <c r="AN256" s="2443">
        <v>1</v>
      </c>
      <c r="AO256" s="2683" t="s">
        <v>28</v>
      </c>
      <c r="AP256" s="2364" t="s">
        <v>62</v>
      </c>
      <c r="AQ256" s="689" t="s">
        <v>253</v>
      </c>
      <c r="AR256" s="2443" t="s">
        <v>92</v>
      </c>
      <c r="AS256" s="2582" t="s">
        <v>541</v>
      </c>
      <c r="AT256" s="757"/>
      <c r="AU256" s="1263"/>
      <c r="AV256" s="757"/>
      <c r="AW256" s="1263">
        <v>8636.24</v>
      </c>
      <c r="AX256" s="2608">
        <v>46023.619988425926</v>
      </c>
      <c r="AY256" s="2113" t="s">
        <v>62</v>
      </c>
      <c r="AZ256" s="2608">
        <v>46387.64136574074</v>
      </c>
      <c r="BA256" s="2113" t="s">
        <v>62</v>
      </c>
      <c r="BB256" s="1354"/>
      <c r="BC256" s="2259" t="s">
        <v>514</v>
      </c>
      <c r="BD256" s="1648"/>
      <c r="BE256" s="1630"/>
      <c r="BF256" s="1630" t="str">
        <f>IF(T256="","",T256)</f>
        <v/>
      </c>
      <c r="BG256" s="1630"/>
      <c r="BH256" s="1630"/>
      <c r="BI256" s="1641">
        <v>0</v>
      </c>
    </row>
    <row customHeight="1" ht="14.25">
      <c r="A257" s="1369"/>
      <c r="B257" s="1369"/>
      <c r="C257" s="1369"/>
      <c r="D257" s="1369"/>
      <c r="E257" s="2265"/>
      <c r="F257" s="2265"/>
      <c r="G257" s="2265"/>
      <c r="H257" s="2265"/>
      <c r="I257" s="2292"/>
      <c r="J257" s="2292"/>
      <c r="K257" s="2262"/>
      <c r="L257" s="1375"/>
      <c r="M257" s="1782"/>
      <c r="N257" s="1782"/>
      <c r="O257" s="1782"/>
      <c r="P257" s="2380"/>
      <c r="Q257" s="2380"/>
      <c r="R257" s="2353"/>
      <c r="S257" s="2348"/>
      <c r="T257" s="2367"/>
      <c r="U257" s="306"/>
      <c r="V257" s="4813"/>
      <c r="W257" s="4814"/>
      <c r="X257" s="4815"/>
      <c r="Y257" s="4816"/>
      <c r="Z257" s="4817"/>
      <c r="AA257" s="4818"/>
      <c r="AB257" s="4819"/>
      <c r="AC257" s="4820"/>
      <c r="AD257" s="2192"/>
      <c r="AE257" s="2332"/>
      <c r="AF257" s="2443"/>
      <c r="AG257" s="2369"/>
      <c r="AH257" s="2113"/>
      <c r="AI257" s="2332"/>
      <c r="AJ257" s="2443" t="s">
        <v>112</v>
      </c>
      <c r="AK257" s="2333"/>
      <c r="AL257" s="2113"/>
      <c r="AM257" s="2301"/>
      <c r="AN257" s="2443"/>
      <c r="AO257" s="2683" t="s">
        <v>28</v>
      </c>
      <c r="AP257" s="2365"/>
      <c r="AQ257" s="4821"/>
      <c r="AR257" s="4822"/>
      <c r="AS257" s="4823" t="s">
        <v>515</v>
      </c>
      <c r="AT257" s="4824"/>
      <c r="AU257" s="4825"/>
      <c r="AV257" s="4826"/>
      <c r="AW257" s="4827"/>
      <c r="AX257" s="4828"/>
      <c r="AY257" s="4829"/>
      <c r="AZ257" s="4830"/>
      <c r="BA257" s="4831"/>
      <c r="BB257" s="4832"/>
      <c r="BC257" s="2260"/>
      <c r="BD257" s="1648"/>
      <c r="BE257" s="1630"/>
      <c r="BF257" s="1630"/>
      <c r="BG257" s="1630"/>
      <c r="BH257" s="1630"/>
      <c r="BI257" s="1641">
        <v>0</v>
      </c>
    </row>
    <row customHeight="1" ht="14.25">
      <c r="A258" s="1369"/>
      <c r="B258" s="1369"/>
      <c r="C258" s="1369"/>
      <c r="D258" s="1369"/>
      <c r="E258" s="2265"/>
      <c r="F258" s="2265"/>
      <c r="G258" s="2265"/>
      <c r="H258" s="2265"/>
      <c r="I258" s="2292"/>
      <c r="J258" s="2292"/>
      <c r="K258" s="2262"/>
      <c r="L258" s="1375"/>
      <c r="M258" s="1782"/>
      <c r="N258" s="1782"/>
      <c r="O258" s="1782"/>
      <c r="P258" s="2380"/>
      <c r="Q258" s="2380"/>
      <c r="R258" s="2353"/>
      <c r="S258" s="2348"/>
      <c r="T258" s="2367"/>
      <c r="U258" s="306"/>
      <c r="V258" s="4833"/>
      <c r="W258" s="4834"/>
      <c r="X258" s="4835"/>
      <c r="Y258" s="4836"/>
      <c r="Z258" s="4837"/>
      <c r="AA258" s="4838"/>
      <c r="AB258" s="4839"/>
      <c r="AC258" s="4840"/>
      <c r="AD258" s="2192"/>
      <c r="AE258" s="2332"/>
      <c r="AF258" s="2443"/>
      <c r="AG258" s="2369"/>
      <c r="AH258" s="2113"/>
      <c r="AI258" s="2332"/>
      <c r="AJ258" s="2443" t="s">
        <v>112</v>
      </c>
      <c r="AK258" s="2333"/>
      <c r="AL258" s="2113"/>
      <c r="AM258" s="4841"/>
      <c r="AN258" s="4842"/>
      <c r="AO258" s="4843" t="s">
        <v>516</v>
      </c>
      <c r="AP258" s="4844"/>
      <c r="AQ258" s="4845"/>
      <c r="AR258" s="4846"/>
      <c r="AS258" s="4847"/>
      <c r="AT258" s="4848"/>
      <c r="AU258" s="4849"/>
      <c r="AV258" s="4850"/>
      <c r="AW258" s="4851"/>
      <c r="AX258" s="4852"/>
      <c r="AY258" s="4853"/>
      <c r="AZ258" s="4854"/>
      <c r="BA258" s="4855"/>
      <c r="BB258" s="4856"/>
      <c r="BC258" s="2260"/>
      <c r="BD258" s="1648"/>
      <c r="BE258" s="1630"/>
      <c r="BF258" s="1630"/>
      <c r="BG258" s="1630"/>
      <c r="BH258" s="1630"/>
      <c r="BI258" s="1641">
        <v>0</v>
      </c>
    </row>
    <row customHeight="1" ht="14.25">
      <c r="A259" s="1369"/>
      <c r="B259" s="1369"/>
      <c r="C259" s="1369"/>
      <c r="D259" s="1369"/>
      <c r="E259" s="2265"/>
      <c r="F259" s="2265"/>
      <c r="G259" s="2265"/>
      <c r="H259" s="2265"/>
      <c r="I259" s="2292"/>
      <c r="J259" s="2292"/>
      <c r="K259" s="2262" t="str">
        <f>S252&amp;".1"</f>
        <v>.1</v>
      </c>
      <c r="L259" s="1375"/>
      <c r="M259" s="1782"/>
      <c r="N259" s="1782"/>
      <c r="O259" s="1782"/>
      <c r="P259" s="2380"/>
      <c r="Q259" s="2380"/>
      <c r="R259" s="2353">
        <v>1</v>
      </c>
      <c r="S259" s="2347" t="str">
        <f>$K259</f>
        <v>.1</v>
      </c>
      <c r="T259" s="2366"/>
      <c r="U259" s="306"/>
      <c r="V259" s="757"/>
      <c r="W259" s="1263"/>
      <c r="X259" s="757"/>
      <c r="Y259" s="1263"/>
      <c r="Z259" s="2608"/>
      <c r="AA259" s="2113" t="s">
        <v>62</v>
      </c>
      <c r="AB259" s="2608"/>
      <c r="AC259" s="2113" t="s">
        <v>62</v>
      </c>
      <c r="AD259" s="2191" t="s">
        <v>62</v>
      </c>
      <c r="AE259" s="2332"/>
      <c r="AF259" s="2443">
        <v>1</v>
      </c>
      <c r="AG259" s="2369"/>
      <c r="AH259" s="2113" t="s">
        <v>62</v>
      </c>
      <c r="AI259" s="689" t="s">
        <v>253</v>
      </c>
      <c r="AJ259" s="2443" t="s">
        <v>92</v>
      </c>
      <c r="AK259" s="2333" t="s">
        <v>536</v>
      </c>
      <c r="AL259" s="2113" t="s">
        <v>19</v>
      </c>
      <c r="AM259" s="2300"/>
      <c r="AN259" s="2443">
        <v>1</v>
      </c>
      <c r="AO259" s="2683" t="s">
        <v>28</v>
      </c>
      <c r="AP259" s="2364" t="s">
        <v>62</v>
      </c>
      <c r="AQ259" s="317"/>
      <c r="AR259" s="2443">
        <v>1</v>
      </c>
      <c r="AS259" s="2582" t="s">
        <v>541</v>
      </c>
      <c r="AT259" s="757"/>
      <c r="AU259" s="1263"/>
      <c r="AV259" s="757"/>
      <c r="AW259" s="1263">
        <v>8316.78</v>
      </c>
      <c r="AX259" s="2608">
        <v>46023.62002314815</v>
      </c>
      <c r="AY259" s="2113" t="s">
        <v>62</v>
      </c>
      <c r="AZ259" s="2608">
        <v>46387.64148148148</v>
      </c>
      <c r="BA259" s="2113" t="s">
        <v>62</v>
      </c>
      <c r="BB259" s="1354"/>
      <c r="BC259" s="2259" t="s">
        <v>514</v>
      </c>
      <c r="BD259" s="1648"/>
      <c r="BE259" s="1630"/>
      <c r="BF259" s="1630" t="str">
        <f>IF(T259="","",T259)</f>
        <v/>
      </c>
      <c r="BG259" s="1630"/>
      <c r="BH259" s="1630"/>
      <c r="BI259" s="1641">
        <v>0</v>
      </c>
    </row>
    <row customHeight="1" ht="14.25">
      <c r="A260" s="1369"/>
      <c r="B260" s="1369"/>
      <c r="C260" s="1369"/>
      <c r="D260" s="1369"/>
      <c r="E260" s="2265"/>
      <c r="F260" s="2265"/>
      <c r="G260" s="2265"/>
      <c r="H260" s="2265"/>
      <c r="I260" s="2292"/>
      <c r="J260" s="2292"/>
      <c r="K260" s="2262" t="str">
        <f>S254&amp;".1"</f>
        <v>.1.1.1.1</v>
      </c>
      <c r="L260" s="1375"/>
      <c r="M260" s="1782"/>
      <c r="N260" s="1782"/>
      <c r="O260" s="1782"/>
      <c r="P260" s="2380"/>
      <c r="Q260" s="2380"/>
      <c r="R260" s="2353">
        <v>1</v>
      </c>
      <c r="S260" s="2347" t="str">
        <f>$K260</f>
        <v>.1.1.1.1</v>
      </c>
      <c r="T260" s="2366"/>
      <c r="U260" s="306"/>
      <c r="V260" s="757"/>
      <c r="W260" s="1263"/>
      <c r="X260" s="757"/>
      <c r="Y260" s="1263"/>
      <c r="Z260" s="2608"/>
      <c r="AA260" s="2113" t="s">
        <v>62</v>
      </c>
      <c r="AB260" s="2608"/>
      <c r="AC260" s="2113" t="s">
        <v>62</v>
      </c>
      <c r="AD260" s="2191" t="s">
        <v>62</v>
      </c>
      <c r="AE260" s="2332"/>
      <c r="AF260" s="2443">
        <v>1</v>
      </c>
      <c r="AG260" s="2369"/>
      <c r="AH260" s="2113" t="s">
        <v>62</v>
      </c>
      <c r="AI260" s="2332"/>
      <c r="AJ260" s="2443">
        <v>1</v>
      </c>
      <c r="AK260" s="2333" t="s">
        <v>28</v>
      </c>
      <c r="AL260" s="2113" t="s">
        <v>62</v>
      </c>
      <c r="AM260" s="2300"/>
      <c r="AN260" s="2443">
        <v>1</v>
      </c>
      <c r="AO260" s="2683" t="s">
        <v>28</v>
      </c>
      <c r="AP260" s="2364" t="s">
        <v>62</v>
      </c>
      <c r="AQ260" s="689" t="s">
        <v>253</v>
      </c>
      <c r="AR260" s="2443" t="s">
        <v>112</v>
      </c>
      <c r="AS260" s="2582" t="s">
        <v>541</v>
      </c>
      <c r="AT260" s="757"/>
      <c r="AU260" s="1263"/>
      <c r="AV260" s="757"/>
      <c r="AW260" s="1263">
        <v>10705.27</v>
      </c>
      <c r="AX260" s="2608">
        <v>46023.62005787037</v>
      </c>
      <c r="AY260" s="2113" t="s">
        <v>62</v>
      </c>
      <c r="AZ260" s="2608">
        <v>46387.64157407408</v>
      </c>
      <c r="BA260" s="2113" t="s">
        <v>62</v>
      </c>
      <c r="BB260" s="1354"/>
      <c r="BC260" s="2259" t="s">
        <v>514</v>
      </c>
      <c r="BD260" s="1648"/>
      <c r="BE260" s="1630"/>
      <c r="BF260" s="1630" t="str">
        <f>IF(T260="","",T260)</f>
        <v/>
      </c>
      <c r="BG260" s="1630"/>
      <c r="BH260" s="1630"/>
      <c r="BI260" s="1641">
        <v>0</v>
      </c>
    </row>
    <row customHeight="1" ht="14.25">
      <c r="A261" s="1369"/>
      <c r="B261" s="1369"/>
      <c r="C261" s="1369"/>
      <c r="D261" s="1369"/>
      <c r="E261" s="2265"/>
      <c r="F261" s="2265"/>
      <c r="G261" s="2265"/>
      <c r="H261" s="2265"/>
      <c r="I261" s="2292"/>
      <c r="J261" s="2292"/>
      <c r="K261" s="2262"/>
      <c r="L261" s="1375"/>
      <c r="M261" s="1782"/>
      <c r="N261" s="1782"/>
      <c r="O261" s="1782"/>
      <c r="P261" s="2380"/>
      <c r="Q261" s="2380"/>
      <c r="R261" s="2353"/>
      <c r="S261" s="2348"/>
      <c r="T261" s="2367"/>
      <c r="U261" s="306"/>
      <c r="V261" s="4857"/>
      <c r="W261" s="4858"/>
      <c r="X261" s="4859"/>
      <c r="Y261" s="4860"/>
      <c r="Z261" s="4861"/>
      <c r="AA261" s="4862"/>
      <c r="AB261" s="4863"/>
      <c r="AC261" s="4864"/>
      <c r="AD261" s="2192"/>
      <c r="AE261" s="2332"/>
      <c r="AF261" s="2443"/>
      <c r="AG261" s="2369"/>
      <c r="AH261" s="2113"/>
      <c r="AI261" s="2332"/>
      <c r="AJ261" s="2443" t="s">
        <v>91</v>
      </c>
      <c r="AK261" s="2333"/>
      <c r="AL261" s="2113"/>
      <c r="AM261" s="2301"/>
      <c r="AN261" s="2443"/>
      <c r="AO261" s="2683" t="s">
        <v>28</v>
      </c>
      <c r="AP261" s="2365"/>
      <c r="AQ261" s="4865"/>
      <c r="AR261" s="4866"/>
      <c r="AS261" s="4867" t="s">
        <v>515</v>
      </c>
      <c r="AT261" s="4868"/>
      <c r="AU261" s="4869"/>
      <c r="AV261" s="4870"/>
      <c r="AW261" s="4871"/>
      <c r="AX261" s="4872"/>
      <c r="AY261" s="4873"/>
      <c r="AZ261" s="4874"/>
      <c r="BA261" s="4875"/>
      <c r="BB261" s="4876"/>
      <c r="BC261" s="2260"/>
      <c r="BD261" s="1648"/>
      <c r="BE261" s="1630"/>
      <c r="BF261" s="1630"/>
      <c r="BG261" s="1630"/>
      <c r="BH261" s="1630"/>
      <c r="BI261" s="1641">
        <v>0</v>
      </c>
    </row>
    <row customHeight="1" ht="14.25">
      <c r="A262" s="1369"/>
      <c r="B262" s="1369"/>
      <c r="C262" s="1369"/>
      <c r="D262" s="1369"/>
      <c r="E262" s="2265"/>
      <c r="F262" s="2265"/>
      <c r="G262" s="2265"/>
      <c r="H262" s="2265"/>
      <c r="I262" s="2292"/>
      <c r="J262" s="2292"/>
      <c r="K262" s="2262"/>
      <c r="L262" s="1375"/>
      <c r="M262" s="1782"/>
      <c r="N262" s="1782"/>
      <c r="O262" s="1782"/>
      <c r="P262" s="2380"/>
      <c r="Q262" s="2380"/>
      <c r="R262" s="2353"/>
      <c r="S262" s="2348"/>
      <c r="T262" s="2367"/>
      <c r="U262" s="306"/>
      <c r="V262" s="4877"/>
      <c r="W262" s="4878"/>
      <c r="X262" s="4879"/>
      <c r="Y262" s="4880"/>
      <c r="Z262" s="4881"/>
      <c r="AA262" s="4882"/>
      <c r="AB262" s="4883"/>
      <c r="AC262" s="4884"/>
      <c r="AD262" s="2192"/>
      <c r="AE262" s="2332"/>
      <c r="AF262" s="2443"/>
      <c r="AG262" s="2369"/>
      <c r="AH262" s="2113"/>
      <c r="AI262" s="2332"/>
      <c r="AJ262" s="2443" t="s">
        <v>91</v>
      </c>
      <c r="AK262" s="2333"/>
      <c r="AL262" s="2113"/>
      <c r="AM262" s="4885"/>
      <c r="AN262" s="4886"/>
      <c r="AO262" s="4887" t="s">
        <v>516</v>
      </c>
      <c r="AP262" s="4888"/>
      <c r="AQ262" s="4889"/>
      <c r="AR262" s="4890"/>
      <c r="AS262" s="4891"/>
      <c r="AT262" s="4892"/>
      <c r="AU262" s="4893"/>
      <c r="AV262" s="4894"/>
      <c r="AW262" s="4895"/>
      <c r="AX262" s="4896"/>
      <c r="AY262" s="4897"/>
      <c r="AZ262" s="4898"/>
      <c r="BA262" s="4899"/>
      <c r="BB262" s="4900"/>
      <c r="BC262" s="2260"/>
      <c r="BD262" s="1648"/>
      <c r="BE262" s="1630"/>
      <c r="BF262" s="1630"/>
      <c r="BG262" s="1630"/>
      <c r="BH262" s="1630"/>
      <c r="BI262" s="1641">
        <v>0</v>
      </c>
    </row>
    <row customHeight="1" ht="14.25">
      <c r="A263" s="1369"/>
      <c r="B263" s="1369"/>
      <c r="C263" s="1369"/>
      <c r="D263" s="1369"/>
      <c r="E263" s="2265"/>
      <c r="F263" s="2265"/>
      <c r="G263" s="2265"/>
      <c r="H263" s="2265"/>
      <c r="I263" s="2292"/>
      <c r="J263" s="2292"/>
      <c r="K263" s="2262" t="str">
        <f>S258&amp;".1"</f>
        <v>.1</v>
      </c>
      <c r="L263" s="1375"/>
      <c r="M263" s="1782"/>
      <c r="N263" s="1782"/>
      <c r="O263" s="1782"/>
      <c r="P263" s="2380"/>
      <c r="Q263" s="2380"/>
      <c r="R263" s="2353">
        <v>1</v>
      </c>
      <c r="S263" s="2347" t="str">
        <f>$K263</f>
        <v>.1</v>
      </c>
      <c r="T263" s="2366"/>
      <c r="U263" s="306"/>
      <c r="V263" s="757"/>
      <c r="W263" s="1263"/>
      <c r="X263" s="757"/>
      <c r="Y263" s="1263"/>
      <c r="Z263" s="2608"/>
      <c r="AA263" s="2113" t="s">
        <v>62</v>
      </c>
      <c r="AB263" s="2608"/>
      <c r="AC263" s="2113" t="s">
        <v>62</v>
      </c>
      <c r="AD263" s="2191" t="s">
        <v>62</v>
      </c>
      <c r="AE263" s="2332"/>
      <c r="AF263" s="2443">
        <v>1</v>
      </c>
      <c r="AG263" s="2369"/>
      <c r="AH263" s="2113" t="s">
        <v>62</v>
      </c>
      <c r="AI263" s="689" t="s">
        <v>253</v>
      </c>
      <c r="AJ263" s="2443" t="s">
        <v>113</v>
      </c>
      <c r="AK263" s="2333" t="s">
        <v>537</v>
      </c>
      <c r="AL263" s="2113" t="s">
        <v>19</v>
      </c>
      <c r="AM263" s="2300"/>
      <c r="AN263" s="2443">
        <v>1</v>
      </c>
      <c r="AO263" s="2683" t="s">
        <v>28</v>
      </c>
      <c r="AP263" s="2364" t="s">
        <v>62</v>
      </c>
      <c r="AQ263" s="317"/>
      <c r="AR263" s="2443">
        <v>1</v>
      </c>
      <c r="AS263" s="2582" t="s">
        <v>541</v>
      </c>
      <c r="AT263" s="757"/>
      <c r="AU263" s="1263"/>
      <c r="AV263" s="757"/>
      <c r="AW263" s="1263">
        <v>10950.83</v>
      </c>
      <c r="AX263" s="2608">
        <v>46023.620092592595</v>
      </c>
      <c r="AY263" s="2113" t="s">
        <v>62</v>
      </c>
      <c r="AZ263" s="2608">
        <v>46387.64165509259</v>
      </c>
      <c r="BA263" s="2113" t="s">
        <v>62</v>
      </c>
      <c r="BB263" s="1354"/>
      <c r="BC263" s="2259" t="s">
        <v>514</v>
      </c>
      <c r="BD263" s="1648"/>
      <c r="BE263" s="1630"/>
      <c r="BF263" s="1630" t="str">
        <f>IF(T263="","",T263)</f>
        <v/>
      </c>
      <c r="BG263" s="1630"/>
      <c r="BH263" s="1630"/>
      <c r="BI263" s="1641">
        <v>0</v>
      </c>
    </row>
    <row customHeight="1" ht="14.25">
      <c r="A264" s="1369"/>
      <c r="B264" s="1369"/>
      <c r="C264" s="1369"/>
      <c r="D264" s="1369"/>
      <c r="E264" s="2265"/>
      <c r="F264" s="2265"/>
      <c r="G264" s="2265"/>
      <c r="H264" s="2265"/>
      <c r="I264" s="2292"/>
      <c r="J264" s="2292"/>
      <c r="K264" s="2262" t="str">
        <f>S260&amp;".1"</f>
        <v>.1.1.1.1.1</v>
      </c>
      <c r="L264" s="1375"/>
      <c r="M264" s="1782"/>
      <c r="N264" s="1782"/>
      <c r="O264" s="1782"/>
      <c r="P264" s="2380"/>
      <c r="Q264" s="2380"/>
      <c r="R264" s="2353">
        <v>1</v>
      </c>
      <c r="S264" s="2347" t="str">
        <f>$K264</f>
        <v>.1.1.1.1.1</v>
      </c>
      <c r="T264" s="2366"/>
      <c r="U264" s="306"/>
      <c r="V264" s="757"/>
      <c r="W264" s="1263"/>
      <c r="X264" s="757"/>
      <c r="Y264" s="1263"/>
      <c r="Z264" s="2608"/>
      <c r="AA264" s="2113" t="s">
        <v>62</v>
      </c>
      <c r="AB264" s="2608"/>
      <c r="AC264" s="2113" t="s">
        <v>62</v>
      </c>
      <c r="AD264" s="2191" t="s">
        <v>62</v>
      </c>
      <c r="AE264" s="2332"/>
      <c r="AF264" s="2443">
        <v>1</v>
      </c>
      <c r="AG264" s="2369"/>
      <c r="AH264" s="2113" t="s">
        <v>62</v>
      </c>
      <c r="AI264" s="2332"/>
      <c r="AJ264" s="2443">
        <v>1</v>
      </c>
      <c r="AK264" s="2333" t="s">
        <v>28</v>
      </c>
      <c r="AL264" s="2113" t="s">
        <v>62</v>
      </c>
      <c r="AM264" s="2300"/>
      <c r="AN264" s="2443">
        <v>1</v>
      </c>
      <c r="AO264" s="2683" t="s">
        <v>28</v>
      </c>
      <c r="AP264" s="2364" t="s">
        <v>62</v>
      </c>
      <c r="AQ264" s="689" t="s">
        <v>253</v>
      </c>
      <c r="AR264" s="2443" t="s">
        <v>112</v>
      </c>
      <c r="AS264" s="2582" t="s">
        <v>541</v>
      </c>
      <c r="AT264" s="757"/>
      <c r="AU264" s="1263"/>
      <c r="AV264" s="757"/>
      <c r="AW264" s="1263">
        <v>13590.08</v>
      </c>
      <c r="AX264" s="2608">
        <v>46023.62013888889</v>
      </c>
      <c r="AY264" s="2113" t="s">
        <v>62</v>
      </c>
      <c r="AZ264" s="2608">
        <v>46387.64172453704</v>
      </c>
      <c r="BA264" s="2113" t="s">
        <v>62</v>
      </c>
      <c r="BB264" s="1354"/>
      <c r="BC264" s="2259" t="s">
        <v>514</v>
      </c>
      <c r="BD264" s="1648"/>
      <c r="BE264" s="1630"/>
      <c r="BF264" s="1630" t="str">
        <f>IF(T264="","",T264)</f>
        <v/>
      </c>
      <c r="BG264" s="1630"/>
      <c r="BH264" s="1630"/>
      <c r="BI264" s="1641">
        <v>0</v>
      </c>
    </row>
    <row customHeight="1" ht="14.25">
      <c r="A265" s="1369"/>
      <c r="B265" s="1369"/>
      <c r="C265" s="1369"/>
      <c r="D265" s="1369"/>
      <c r="E265" s="2265"/>
      <c r="F265" s="2265"/>
      <c r="G265" s="2265"/>
      <c r="H265" s="2265"/>
      <c r="I265" s="2292"/>
      <c r="J265" s="2292"/>
      <c r="K265" s="2262"/>
      <c r="L265" s="1375"/>
      <c r="M265" s="1782"/>
      <c r="N265" s="1782"/>
      <c r="O265" s="1782"/>
      <c r="P265" s="2380"/>
      <c r="Q265" s="2380"/>
      <c r="R265" s="2353"/>
      <c r="S265" s="2348"/>
      <c r="T265" s="2367"/>
      <c r="U265" s="306"/>
      <c r="V265" s="4901"/>
      <c r="W265" s="4902"/>
      <c r="X265" s="4903"/>
      <c r="Y265" s="4904"/>
      <c r="Z265" s="4905"/>
      <c r="AA265" s="4906"/>
      <c r="AB265" s="4907"/>
      <c r="AC265" s="4908"/>
      <c r="AD265" s="2192"/>
      <c r="AE265" s="2332"/>
      <c r="AF265" s="2443"/>
      <c r="AG265" s="2369"/>
      <c r="AH265" s="2113"/>
      <c r="AI265" s="2332"/>
      <c r="AJ265" s="2443" t="s">
        <v>92</v>
      </c>
      <c r="AK265" s="2333"/>
      <c r="AL265" s="2113"/>
      <c r="AM265" s="2301"/>
      <c r="AN265" s="2443"/>
      <c r="AO265" s="2683" t="s">
        <v>28</v>
      </c>
      <c r="AP265" s="2365"/>
      <c r="AQ265" s="4909"/>
      <c r="AR265" s="4910"/>
      <c r="AS265" s="4911" t="s">
        <v>515</v>
      </c>
      <c r="AT265" s="4912"/>
      <c r="AU265" s="4913"/>
      <c r="AV265" s="4914"/>
      <c r="AW265" s="4915"/>
      <c r="AX265" s="4916"/>
      <c r="AY265" s="4917"/>
      <c r="AZ265" s="4918"/>
      <c r="BA265" s="4919"/>
      <c r="BB265" s="4920"/>
      <c r="BC265" s="2260"/>
      <c r="BD265" s="1648"/>
      <c r="BE265" s="1630"/>
      <c r="BF265" s="1630"/>
      <c r="BG265" s="1630"/>
      <c r="BH265" s="1630"/>
      <c r="BI265" s="1641">
        <v>0</v>
      </c>
    </row>
    <row customHeight="1" ht="14.25">
      <c r="A266" s="1369"/>
      <c r="B266" s="1369"/>
      <c r="C266" s="1369"/>
      <c r="D266" s="1369"/>
      <c r="E266" s="2265"/>
      <c r="F266" s="2265"/>
      <c r="G266" s="2265"/>
      <c r="H266" s="2265"/>
      <c r="I266" s="2292"/>
      <c r="J266" s="2292"/>
      <c r="K266" s="2262"/>
      <c r="L266" s="1375"/>
      <c r="M266" s="1782"/>
      <c r="N266" s="1782"/>
      <c r="O266" s="1782"/>
      <c r="P266" s="2380"/>
      <c r="Q266" s="2380"/>
      <c r="R266" s="2353"/>
      <c r="S266" s="2348"/>
      <c r="T266" s="2367"/>
      <c r="U266" s="306"/>
      <c r="V266" s="4921"/>
      <c r="W266" s="4922"/>
      <c r="X266" s="4923"/>
      <c r="Y266" s="4924"/>
      <c r="Z266" s="4925"/>
      <c r="AA266" s="4926"/>
      <c r="AB266" s="4927"/>
      <c r="AC266" s="4928"/>
      <c r="AD266" s="2192"/>
      <c r="AE266" s="2332"/>
      <c r="AF266" s="2443"/>
      <c r="AG266" s="2369"/>
      <c r="AH266" s="2113"/>
      <c r="AI266" s="2332"/>
      <c r="AJ266" s="2443" t="s">
        <v>92</v>
      </c>
      <c r="AK266" s="2333"/>
      <c r="AL266" s="2113"/>
      <c r="AM266" s="4929"/>
      <c r="AN266" s="4930"/>
      <c r="AO266" s="4931" t="s">
        <v>516</v>
      </c>
      <c r="AP266" s="4932"/>
      <c r="AQ266" s="4933"/>
      <c r="AR266" s="4934"/>
      <c r="AS266" s="4935"/>
      <c r="AT266" s="4936"/>
      <c r="AU266" s="4937"/>
      <c r="AV266" s="4938"/>
      <c r="AW266" s="4939"/>
      <c r="AX266" s="4940"/>
      <c r="AY266" s="4941"/>
      <c r="AZ266" s="4942"/>
      <c r="BA266" s="4943"/>
      <c r="BB266" s="4944"/>
      <c r="BC266" s="2260"/>
      <c r="BD266" s="1648"/>
      <c r="BE266" s="1630"/>
      <c r="BF266" s="1630"/>
      <c r="BG266" s="1630"/>
      <c r="BH266" s="1630"/>
      <c r="BI266" s="1641">
        <v>0</v>
      </c>
    </row>
    <row customHeight="1" ht="14.25">
      <c r="A267" s="1369"/>
      <c r="B267" s="1369"/>
      <c r="C267" s="1369"/>
      <c r="D267" s="1369"/>
      <c r="E267" s="2265"/>
      <c r="F267" s="2265"/>
      <c r="G267" s="2265"/>
      <c r="H267" s="2265"/>
      <c r="I267" s="2292"/>
      <c r="J267" s="2292"/>
      <c r="K267" s="2262" t="str">
        <f>S65&amp;".6"</f>
        <v>2.1.1.6</v>
      </c>
      <c r="L267" s="1375"/>
      <c r="M267" s="1782"/>
      <c r="N267" s="1782"/>
      <c r="O267" s="1782"/>
      <c r="P267" s="2380"/>
      <c r="Q267" s="2380"/>
      <c r="R267" s="2353"/>
      <c r="S267" s="2348"/>
      <c r="T267" s="2367"/>
      <c r="U267" s="306"/>
      <c r="V267" s="4945"/>
      <c r="W267" s="4946"/>
      <c r="X267" s="4947"/>
      <c r="Y267" s="4948"/>
      <c r="Z267" s="4949"/>
      <c r="AA267" s="4950"/>
      <c r="AB267" s="4951"/>
      <c r="AC267" s="4952"/>
      <c r="AD267" s="2192"/>
      <c r="AE267" s="2332"/>
      <c r="AF267" s="2443"/>
      <c r="AG267" s="2682" t="s">
        <v>28</v>
      </c>
      <c r="AH267" s="2113"/>
      <c r="AI267" s="4953"/>
      <c r="AJ267" s="4954"/>
      <c r="AK267" s="4955" t="s">
        <v>517</v>
      </c>
      <c r="AL267" s="4956"/>
      <c r="AM267" s="4957"/>
      <c r="AN267" s="4958"/>
      <c r="AO267" s="4959"/>
      <c r="AP267" s="4960"/>
      <c r="AQ267" s="4961"/>
      <c r="AR267" s="4962"/>
      <c r="AS267" s="4963"/>
      <c r="AT267" s="4964"/>
      <c r="AU267" s="4965"/>
      <c r="AV267" s="4966"/>
      <c r="AW267" s="4967"/>
      <c r="AX267" s="4968"/>
      <c r="AY267" s="4969"/>
      <c r="AZ267" s="4970"/>
      <c r="BA267" s="4971"/>
      <c r="BB267" s="4972"/>
      <c r="BC267" s="2260"/>
      <c r="BD267" s="1648"/>
      <c r="BE267" s="1630"/>
      <c r="BF267" s="1630"/>
      <c r="BG267" s="1630"/>
      <c r="BH267" s="1630"/>
      <c r="BI267" s="1641">
        <v>0</v>
      </c>
    </row>
    <row customHeight="1" ht="14.25">
      <c r="A268" s="1369"/>
      <c r="B268" s="1369"/>
      <c r="C268" s="1369"/>
      <c r="D268" s="1369"/>
      <c r="E268" s="2265"/>
      <c r="F268" s="2265"/>
      <c r="G268" s="2265"/>
      <c r="H268" s="2265"/>
      <c r="I268" s="2292"/>
      <c r="J268" s="2292"/>
      <c r="K268" s="2262" t="str">
        <f>S65&amp;".6"</f>
        <v>2.1.1.6</v>
      </c>
      <c r="L268" s="1375"/>
      <c r="M268" s="1782"/>
      <c r="N268" s="1782"/>
      <c r="O268" s="1782"/>
      <c r="P268" s="2380"/>
      <c r="Q268" s="2380"/>
      <c r="R268" s="2353"/>
      <c r="S268" s="2349"/>
      <c r="T268" s="2368"/>
      <c r="U268" s="306"/>
      <c r="V268" s="4973"/>
      <c r="W268" s="4974" t="str">
        <f>Z243&amp;"-"&amp;AB243</f>
        <v>-</v>
      </c>
      <c r="X268" s="4975"/>
      <c r="Y268" s="4976" t="str">
        <f>AB243&amp;"-"&amp;AD243</f>
        <v>-нет</v>
      </c>
      <c r="Z268" s="4977"/>
      <c r="AA268" s="4978"/>
      <c r="AB268" s="4979"/>
      <c r="AC268" s="4980"/>
      <c r="AD268" s="2118"/>
      <c r="AE268" s="4981"/>
      <c r="AF268" s="4982"/>
      <c r="AG268" s="4983" t="s">
        <v>518</v>
      </c>
      <c r="AH268" s="4984"/>
      <c r="AI268" s="4985"/>
      <c r="AJ268" s="4986"/>
      <c r="AK268" s="4987"/>
      <c r="AL268" s="4988"/>
      <c r="AM268" s="4989"/>
      <c r="AN268" s="4990"/>
      <c r="AO268" s="4991"/>
      <c r="AP268" s="4992"/>
      <c r="AQ268" s="4993"/>
      <c r="AR268" s="4994"/>
      <c r="AS268" s="4995"/>
      <c r="AT268" s="4996"/>
      <c r="AU268" s="4997" t="str">
        <f>AX243&amp;"-"&amp;AZ243</f>
        <v>46023.61965277778-46387.63892361111</v>
      </c>
      <c r="AV268" s="4998"/>
      <c r="AW268" s="4999" t="str">
        <f>AZ243&amp;"-"&amp;BB243</f>
        <v>46387.63892361111-</v>
      </c>
      <c r="AX268" s="5000"/>
      <c r="AY268" s="5001"/>
      <c r="AZ268" s="5002"/>
      <c r="BA268" s="5003"/>
      <c r="BB268" s="5004" t="str">
        <f>BE243&amp;"-"&amp;BG243</f>
        <v>-</v>
      </c>
      <c r="BC268" s="2260"/>
      <c r="BD268" s="1648"/>
      <c r="BE268" s="1630"/>
      <c r="BF268" s="1630" t="str">
        <f>IF(T268="","",T268)</f>
        <v/>
      </c>
      <c r="BG268" s="1630"/>
      <c r="BH268" s="1630"/>
      <c r="BI268" s="1641">
        <v>0</v>
      </c>
    </row>
    <row customHeight="1" ht="14.25">
      <c r="A269" s="1369"/>
      <c r="B269" s="1369"/>
      <c r="C269" s="1369"/>
      <c r="D269" s="1369"/>
      <c r="E269" s="2265"/>
      <c r="F269" s="2265"/>
      <c r="G269" s="2265"/>
      <c r="H269" s="2265"/>
      <c r="I269" s="2292"/>
      <c r="J269" s="2292"/>
      <c r="K269" s="2262" t="str">
        <f>S65&amp;".8"</f>
        <v>2.1.1.8</v>
      </c>
      <c r="L269" s="1375"/>
      <c r="M269" s="1782"/>
      <c r="N269" s="1782"/>
      <c r="O269" s="1782"/>
      <c r="P269" s="2380"/>
      <c r="Q269" s="2380"/>
      <c r="R269" s="689" t="s">
        <v>253</v>
      </c>
      <c r="S269" s="2347" t="str">
        <f>$K269</f>
        <v>2.1.1.8</v>
      </c>
      <c r="T269" s="2366" t="s">
        <v>545</v>
      </c>
      <c r="U269" s="306"/>
      <c r="V269" s="757"/>
      <c r="W269" s="1263"/>
      <c r="X269" s="757"/>
      <c r="Y269" s="1263"/>
      <c r="Z269" s="2608"/>
      <c r="AA269" s="2113" t="s">
        <v>62</v>
      </c>
      <c r="AB269" s="2608"/>
      <c r="AC269" s="2113" t="s">
        <v>62</v>
      </c>
      <c r="AD269" s="2191" t="s">
        <v>19</v>
      </c>
      <c r="AE269" s="2332"/>
      <c r="AF269" s="2443">
        <v>1</v>
      </c>
      <c r="AG269" s="2682" t="s">
        <v>28</v>
      </c>
      <c r="AH269" s="2113" t="s">
        <v>62</v>
      </c>
      <c r="AI269" s="2332"/>
      <c r="AJ269" s="2443">
        <v>1</v>
      </c>
      <c r="AK269" s="2333" t="s">
        <v>532</v>
      </c>
      <c r="AL269" s="2113" t="s">
        <v>19</v>
      </c>
      <c r="AM269" s="2300"/>
      <c r="AN269" s="2443">
        <v>1</v>
      </c>
      <c r="AO269" s="2683" t="s">
        <v>28</v>
      </c>
      <c r="AP269" s="2364" t="s">
        <v>62</v>
      </c>
      <c r="AQ269" s="317"/>
      <c r="AR269" s="2443">
        <v>1</v>
      </c>
      <c r="AS269" s="2582" t="s">
        <v>541</v>
      </c>
      <c r="AT269" s="757"/>
      <c r="AU269" s="1263"/>
      <c r="AV269" s="757"/>
      <c r="AW269" s="1263">
        <v>11693.82</v>
      </c>
      <c r="AX269" s="2608">
        <v>46023.62118055556</v>
      </c>
      <c r="AY269" s="2113" t="s">
        <v>62</v>
      </c>
      <c r="AZ269" s="2608">
        <v>46387.6418287037</v>
      </c>
      <c r="BA269" s="2113" t="s">
        <v>62</v>
      </c>
      <c r="BB269" s="1354"/>
      <c r="BC269" s="2259" t="s">
        <v>514</v>
      </c>
      <c r="BD269" s="1648"/>
      <c r="BE269" s="1630"/>
      <c r="BF269" s="1630" t="str">
        <f>IF(T269="","",T269)</f>
        <v>Прокладка трубопроводов водоснабжения в непроходных каналах с изоляцией минераловатными плитами и стеклопластиком, с погрузкой и вывозом грунта автотранспортом, диаметр труб:</v>
      </c>
      <c r="BG269" s="1630"/>
      <c r="BH269" s="1630"/>
      <c r="BI269" s="1641">
        <v>0</v>
      </c>
    </row>
    <row customHeight="1" ht="14.25">
      <c r="A270" s="1369"/>
      <c r="B270" s="1369"/>
      <c r="C270" s="1369"/>
      <c r="D270" s="1369"/>
      <c r="E270" s="2265"/>
      <c r="F270" s="2265"/>
      <c r="G270" s="2265"/>
      <c r="H270" s="2265"/>
      <c r="I270" s="2292"/>
      <c r="J270" s="2292"/>
      <c r="K270" s="2262" t="str">
        <f>S266&amp;".1"</f>
        <v>.1</v>
      </c>
      <c r="L270" s="1375"/>
      <c r="M270" s="1782"/>
      <c r="N270" s="1782"/>
      <c r="O270" s="1782"/>
      <c r="P270" s="2380"/>
      <c r="Q270" s="2380"/>
      <c r="R270" s="2353">
        <v>1</v>
      </c>
      <c r="S270" s="2347" t="str">
        <f>$K270</f>
        <v>.1</v>
      </c>
      <c r="T270" s="2366"/>
      <c r="U270" s="306"/>
      <c r="V270" s="757"/>
      <c r="W270" s="1263"/>
      <c r="X270" s="757"/>
      <c r="Y270" s="1263"/>
      <c r="Z270" s="2608"/>
      <c r="AA270" s="2113" t="s">
        <v>62</v>
      </c>
      <c r="AB270" s="2608"/>
      <c r="AC270" s="2113" t="s">
        <v>62</v>
      </c>
      <c r="AD270" s="2191" t="s">
        <v>62</v>
      </c>
      <c r="AE270" s="2332"/>
      <c r="AF270" s="2443">
        <v>1</v>
      </c>
      <c r="AG270" s="2369"/>
      <c r="AH270" s="2113" t="s">
        <v>62</v>
      </c>
      <c r="AI270" s="2332"/>
      <c r="AJ270" s="2443">
        <v>1</v>
      </c>
      <c r="AK270" s="2333" t="s">
        <v>28</v>
      </c>
      <c r="AL270" s="2113" t="s">
        <v>62</v>
      </c>
      <c r="AM270" s="2300"/>
      <c r="AN270" s="2443">
        <v>1</v>
      </c>
      <c r="AO270" s="2683" t="s">
        <v>28</v>
      </c>
      <c r="AP270" s="2364" t="s">
        <v>62</v>
      </c>
      <c r="AQ270" s="689" t="s">
        <v>253</v>
      </c>
      <c r="AR270" s="2443" t="s">
        <v>112</v>
      </c>
      <c r="AS270" s="2582" t="s">
        <v>541</v>
      </c>
      <c r="AT270" s="757"/>
      <c r="AU270" s="1263"/>
      <c r="AV270" s="757"/>
      <c r="AW270" s="1263">
        <v>15593.46</v>
      </c>
      <c r="AX270" s="2608">
        <v>46023.62122685185</v>
      </c>
      <c r="AY270" s="2113" t="s">
        <v>62</v>
      </c>
      <c r="AZ270" s="2608">
        <v>46387.641909722224</v>
      </c>
      <c r="BA270" s="2113" t="s">
        <v>62</v>
      </c>
      <c r="BB270" s="1354"/>
      <c r="BC270" s="2259" t="s">
        <v>514</v>
      </c>
      <c r="BD270" s="1648"/>
      <c r="BE270" s="1630"/>
      <c r="BF270" s="1630" t="str">
        <f>IF(T270="","",T270)</f>
        <v/>
      </c>
      <c r="BG270" s="1630"/>
      <c r="BH270" s="1630"/>
      <c r="BI270" s="1641">
        <v>0</v>
      </c>
    </row>
    <row customHeight="1" ht="14.25">
      <c r="A271" s="1369"/>
      <c r="B271" s="1369"/>
      <c r="C271" s="1369"/>
      <c r="D271" s="1369"/>
      <c r="E271" s="2265"/>
      <c r="F271" s="2265"/>
      <c r="G271" s="2265"/>
      <c r="H271" s="2265"/>
      <c r="I271" s="2292"/>
      <c r="J271" s="2292"/>
      <c r="K271" s="2262" t="str">
        <f>S65&amp;".7"</f>
        <v>2.1.1.7</v>
      </c>
      <c r="L271" s="1375"/>
      <c r="M271" s="1782"/>
      <c r="N271" s="1782"/>
      <c r="O271" s="1782"/>
      <c r="P271" s="2380"/>
      <c r="Q271" s="2380"/>
      <c r="R271" s="2353"/>
      <c r="S271" s="2348"/>
      <c r="T271" s="2367"/>
      <c r="U271" s="306"/>
      <c r="V271" s="5005"/>
      <c r="W271" s="5006"/>
      <c r="X271" s="5007"/>
      <c r="Y271" s="5008"/>
      <c r="Z271" s="5009"/>
      <c r="AA271" s="5010"/>
      <c r="AB271" s="5011"/>
      <c r="AC271" s="5012"/>
      <c r="AD271" s="2192"/>
      <c r="AE271" s="2332"/>
      <c r="AF271" s="2443"/>
      <c r="AG271" s="2682" t="s">
        <v>28</v>
      </c>
      <c r="AH271" s="2113"/>
      <c r="AI271" s="2332"/>
      <c r="AJ271" s="2443"/>
      <c r="AK271" s="2333"/>
      <c r="AL271" s="2113"/>
      <c r="AM271" s="2301"/>
      <c r="AN271" s="2443"/>
      <c r="AO271" s="2683" t="s">
        <v>28</v>
      </c>
      <c r="AP271" s="2365"/>
      <c r="AQ271" s="5013"/>
      <c r="AR271" s="5014"/>
      <c r="AS271" s="5015" t="s">
        <v>515</v>
      </c>
      <c r="AT271" s="5016"/>
      <c r="AU271" s="5017"/>
      <c r="AV271" s="5018"/>
      <c r="AW271" s="5019"/>
      <c r="AX271" s="5020"/>
      <c r="AY271" s="5021"/>
      <c r="AZ271" s="5022"/>
      <c r="BA271" s="5023"/>
      <c r="BB271" s="5024"/>
      <c r="BC271" s="2260"/>
      <c r="BD271" s="1648"/>
      <c r="BE271" s="1630"/>
      <c r="BF271" s="1630"/>
      <c r="BG271" s="1630"/>
      <c r="BH271" s="1630"/>
      <c r="BI271" s="1641">
        <v>0</v>
      </c>
    </row>
    <row customHeight="1" ht="14.25">
      <c r="A272" s="1369"/>
      <c r="B272" s="1369"/>
      <c r="C272" s="1369"/>
      <c r="D272" s="1369"/>
      <c r="E272" s="2265"/>
      <c r="F272" s="2265"/>
      <c r="G272" s="2265"/>
      <c r="H272" s="2265"/>
      <c r="I272" s="2292"/>
      <c r="J272" s="2292"/>
      <c r="K272" s="2262" t="str">
        <f>S65&amp;".7"</f>
        <v>2.1.1.7</v>
      </c>
      <c r="L272" s="1375"/>
      <c r="M272" s="1782"/>
      <c r="N272" s="1782"/>
      <c r="O272" s="1782"/>
      <c r="P272" s="2380"/>
      <c r="Q272" s="2380"/>
      <c r="R272" s="2353"/>
      <c r="S272" s="2348"/>
      <c r="T272" s="2367"/>
      <c r="U272" s="306"/>
      <c r="V272" s="5025"/>
      <c r="W272" s="5026"/>
      <c r="X272" s="5027"/>
      <c r="Y272" s="5028"/>
      <c r="Z272" s="5029"/>
      <c r="AA272" s="5030"/>
      <c r="AB272" s="5031"/>
      <c r="AC272" s="5032"/>
      <c r="AD272" s="2192"/>
      <c r="AE272" s="2332"/>
      <c r="AF272" s="2443"/>
      <c r="AG272" s="2682" t="s">
        <v>28</v>
      </c>
      <c r="AH272" s="2113"/>
      <c r="AI272" s="2332"/>
      <c r="AJ272" s="2443"/>
      <c r="AK272" s="2333"/>
      <c r="AL272" s="2113"/>
      <c r="AM272" s="5033"/>
      <c r="AN272" s="5034"/>
      <c r="AO272" s="5035" t="s">
        <v>516</v>
      </c>
      <c r="AP272" s="5036"/>
      <c r="AQ272" s="5037"/>
      <c r="AR272" s="5038"/>
      <c r="AS272" s="5039"/>
      <c r="AT272" s="5040"/>
      <c r="AU272" s="5041"/>
      <c r="AV272" s="5042"/>
      <c r="AW272" s="5043"/>
      <c r="AX272" s="5044"/>
      <c r="AY272" s="5045"/>
      <c r="AZ272" s="5046"/>
      <c r="BA272" s="5047"/>
      <c r="BB272" s="5048"/>
      <c r="BC272" s="2260"/>
      <c r="BD272" s="1648"/>
      <c r="BE272" s="1630"/>
      <c r="BF272" s="1630"/>
      <c r="BG272" s="1630"/>
      <c r="BH272" s="1630"/>
      <c r="BI272" s="1641">
        <v>0</v>
      </c>
    </row>
    <row customHeight="1" ht="14.25">
      <c r="A273" s="1369"/>
      <c r="B273" s="1369"/>
      <c r="C273" s="1369"/>
      <c r="D273" s="1369"/>
      <c r="E273" s="2265"/>
      <c r="F273" s="2265"/>
      <c r="G273" s="2265"/>
      <c r="H273" s="2265"/>
      <c r="I273" s="2292"/>
      <c r="J273" s="2292"/>
      <c r="K273" s="2262" t="str">
        <f>S269&amp;".1"</f>
        <v>2.1.1.8.1</v>
      </c>
      <c r="L273" s="1375"/>
      <c r="M273" s="1782"/>
      <c r="N273" s="1782"/>
      <c r="O273" s="1782"/>
      <c r="P273" s="2380"/>
      <c r="Q273" s="2380"/>
      <c r="R273" s="2353">
        <v>1</v>
      </c>
      <c r="S273" s="2347" t="str">
        <f>$K273</f>
        <v>2.1.1.8.1</v>
      </c>
      <c r="T273" s="2366"/>
      <c r="U273" s="306"/>
      <c r="V273" s="757"/>
      <c r="W273" s="1263"/>
      <c r="X273" s="757"/>
      <c r="Y273" s="1263"/>
      <c r="Z273" s="2608"/>
      <c r="AA273" s="2113" t="s">
        <v>62</v>
      </c>
      <c r="AB273" s="2608"/>
      <c r="AC273" s="2113" t="s">
        <v>62</v>
      </c>
      <c r="AD273" s="2191" t="s">
        <v>62</v>
      </c>
      <c r="AE273" s="2332"/>
      <c r="AF273" s="2443">
        <v>1</v>
      </c>
      <c r="AG273" s="2369"/>
      <c r="AH273" s="2113" t="s">
        <v>62</v>
      </c>
      <c r="AI273" s="689" t="s">
        <v>253</v>
      </c>
      <c r="AJ273" s="2443" t="s">
        <v>112</v>
      </c>
      <c r="AK273" s="2333" t="s">
        <v>533</v>
      </c>
      <c r="AL273" s="2113" t="s">
        <v>19</v>
      </c>
      <c r="AM273" s="2300"/>
      <c r="AN273" s="2443">
        <v>1</v>
      </c>
      <c r="AO273" s="2683" t="s">
        <v>28</v>
      </c>
      <c r="AP273" s="2364" t="s">
        <v>62</v>
      </c>
      <c r="AQ273" s="317"/>
      <c r="AR273" s="2443">
        <v>1</v>
      </c>
      <c r="AS273" s="2582" t="s">
        <v>541</v>
      </c>
      <c r="AT273" s="757"/>
      <c r="AU273" s="1263"/>
      <c r="AV273" s="757"/>
      <c r="AW273" s="1263">
        <v>17554.83</v>
      </c>
      <c r="AX273" s="2608">
        <v>46023.62126157407</v>
      </c>
      <c r="AY273" s="2113" t="s">
        <v>62</v>
      </c>
      <c r="AZ273" s="2608">
        <v>46387.64199074074</v>
      </c>
      <c r="BA273" s="2113" t="s">
        <v>62</v>
      </c>
      <c r="BB273" s="1354"/>
      <c r="BC273" s="2259" t="s">
        <v>514</v>
      </c>
      <c r="BD273" s="1648"/>
      <c r="BE273" s="1630"/>
      <c r="BF273" s="1630" t="str">
        <f>IF(T273="","",T273)</f>
        <v/>
      </c>
      <c r="BG273" s="1630"/>
      <c r="BH273" s="1630"/>
      <c r="BI273" s="1641">
        <v>0</v>
      </c>
    </row>
    <row customHeight="1" ht="14.25">
      <c r="A274" s="1369"/>
      <c r="B274" s="1369"/>
      <c r="C274" s="1369"/>
      <c r="D274" s="1369"/>
      <c r="E274" s="2265"/>
      <c r="F274" s="2265"/>
      <c r="G274" s="2265"/>
      <c r="H274" s="2265"/>
      <c r="I274" s="2292"/>
      <c r="J274" s="2292"/>
      <c r="K274" s="2262" t="str">
        <f>S270&amp;".1"</f>
        <v>.1.1</v>
      </c>
      <c r="L274" s="1375"/>
      <c r="M274" s="1782"/>
      <c r="N274" s="1782"/>
      <c r="O274" s="1782"/>
      <c r="P274" s="2380"/>
      <c r="Q274" s="2380"/>
      <c r="R274" s="2353">
        <v>1</v>
      </c>
      <c r="S274" s="2347" t="str">
        <f>$K274</f>
        <v>.1.1</v>
      </c>
      <c r="T274" s="2366"/>
      <c r="U274" s="306"/>
      <c r="V274" s="757"/>
      <c r="W274" s="1263"/>
      <c r="X274" s="757"/>
      <c r="Y274" s="1263"/>
      <c r="Z274" s="2608"/>
      <c r="AA274" s="2113" t="s">
        <v>62</v>
      </c>
      <c r="AB274" s="2608"/>
      <c r="AC274" s="2113" t="s">
        <v>62</v>
      </c>
      <c r="AD274" s="2191" t="s">
        <v>62</v>
      </c>
      <c r="AE274" s="2332"/>
      <c r="AF274" s="2443">
        <v>1</v>
      </c>
      <c r="AG274" s="2369"/>
      <c r="AH274" s="2113" t="s">
        <v>62</v>
      </c>
      <c r="AI274" s="2332"/>
      <c r="AJ274" s="2443">
        <v>1</v>
      </c>
      <c r="AK274" s="2333" t="s">
        <v>28</v>
      </c>
      <c r="AL274" s="2113" t="s">
        <v>62</v>
      </c>
      <c r="AM274" s="2300"/>
      <c r="AN274" s="2443">
        <v>1</v>
      </c>
      <c r="AO274" s="2683" t="s">
        <v>28</v>
      </c>
      <c r="AP274" s="2364" t="s">
        <v>62</v>
      </c>
      <c r="AQ274" s="689" t="s">
        <v>253</v>
      </c>
      <c r="AR274" s="2443" t="s">
        <v>112</v>
      </c>
      <c r="AS274" s="2582" t="s">
        <v>541</v>
      </c>
      <c r="AT274" s="757"/>
      <c r="AU274" s="1263"/>
      <c r="AV274" s="757"/>
      <c r="AW274" s="1263">
        <v>21758.06</v>
      </c>
      <c r="AX274" s="2608">
        <v>46023.621296296296</v>
      </c>
      <c r="AY274" s="2113" t="s">
        <v>62</v>
      </c>
      <c r="AZ274" s="2608">
        <v>46387.64208333333</v>
      </c>
      <c r="BA274" s="2113" t="s">
        <v>62</v>
      </c>
      <c r="BB274" s="1354"/>
      <c r="BC274" s="2259" t="s">
        <v>514</v>
      </c>
      <c r="BD274" s="1648"/>
      <c r="BE274" s="1630"/>
      <c r="BF274" s="1630" t="str">
        <f>IF(T274="","",T274)</f>
        <v/>
      </c>
      <c r="BG274" s="1630"/>
      <c r="BH274" s="1630"/>
      <c r="BI274" s="1641">
        <v>0</v>
      </c>
    </row>
    <row customHeight="1" ht="14.25">
      <c r="A275" s="1369"/>
      <c r="B275" s="1369"/>
      <c r="C275" s="1369"/>
      <c r="D275" s="1369"/>
      <c r="E275" s="2265"/>
      <c r="F275" s="2265"/>
      <c r="G275" s="2265"/>
      <c r="H275" s="2265"/>
      <c r="I275" s="2292"/>
      <c r="J275" s="2292"/>
      <c r="K275" s="2262"/>
      <c r="L275" s="1375"/>
      <c r="M275" s="1782"/>
      <c r="N275" s="1782"/>
      <c r="O275" s="1782"/>
      <c r="P275" s="2380"/>
      <c r="Q275" s="2380"/>
      <c r="R275" s="2353"/>
      <c r="S275" s="2348"/>
      <c r="T275" s="2367"/>
      <c r="U275" s="306"/>
      <c r="V275" s="5049"/>
      <c r="W275" s="5050"/>
      <c r="X275" s="5051"/>
      <c r="Y275" s="5052"/>
      <c r="Z275" s="5053"/>
      <c r="AA275" s="5054"/>
      <c r="AB275" s="5055"/>
      <c r="AC275" s="5056"/>
      <c r="AD275" s="2192"/>
      <c r="AE275" s="2332"/>
      <c r="AF275" s="2443"/>
      <c r="AG275" s="2369"/>
      <c r="AH275" s="2113"/>
      <c r="AI275" s="2332"/>
      <c r="AJ275" s="2443">
        <v>1</v>
      </c>
      <c r="AK275" s="2333"/>
      <c r="AL275" s="2113"/>
      <c r="AM275" s="2301"/>
      <c r="AN275" s="2443"/>
      <c r="AO275" s="2683" t="s">
        <v>28</v>
      </c>
      <c r="AP275" s="2365"/>
      <c r="AQ275" s="5057"/>
      <c r="AR275" s="5058"/>
      <c r="AS275" s="5059" t="s">
        <v>515</v>
      </c>
      <c r="AT275" s="5060"/>
      <c r="AU275" s="5061"/>
      <c r="AV275" s="5062"/>
      <c r="AW275" s="5063"/>
      <c r="AX275" s="5064"/>
      <c r="AY275" s="5065"/>
      <c r="AZ275" s="5066"/>
      <c r="BA275" s="5067"/>
      <c r="BB275" s="5068"/>
      <c r="BC275" s="2260"/>
      <c r="BD275" s="1648"/>
      <c r="BE275" s="1630"/>
      <c r="BF275" s="1630"/>
      <c r="BG275" s="1630"/>
      <c r="BH275" s="1630"/>
      <c r="BI275" s="1641">
        <v>0</v>
      </c>
    </row>
    <row customHeight="1" ht="14.25">
      <c r="A276" s="1369"/>
      <c r="B276" s="1369"/>
      <c r="C276" s="1369"/>
      <c r="D276" s="1369"/>
      <c r="E276" s="2265"/>
      <c r="F276" s="2265"/>
      <c r="G276" s="2265"/>
      <c r="H276" s="2265"/>
      <c r="I276" s="2292"/>
      <c r="J276" s="2292"/>
      <c r="K276" s="2262"/>
      <c r="L276" s="1375"/>
      <c r="M276" s="1782"/>
      <c r="N276" s="1782"/>
      <c r="O276" s="1782"/>
      <c r="P276" s="2380"/>
      <c r="Q276" s="2380"/>
      <c r="R276" s="2353"/>
      <c r="S276" s="2348"/>
      <c r="T276" s="2367"/>
      <c r="U276" s="306"/>
      <c r="V276" s="5069"/>
      <c r="W276" s="5070"/>
      <c r="X276" s="5071"/>
      <c r="Y276" s="5072"/>
      <c r="Z276" s="5073"/>
      <c r="AA276" s="5074"/>
      <c r="AB276" s="5075"/>
      <c r="AC276" s="5076"/>
      <c r="AD276" s="2192"/>
      <c r="AE276" s="2332"/>
      <c r="AF276" s="2443"/>
      <c r="AG276" s="2369"/>
      <c r="AH276" s="2113"/>
      <c r="AI276" s="2332"/>
      <c r="AJ276" s="2443">
        <v>1</v>
      </c>
      <c r="AK276" s="2333"/>
      <c r="AL276" s="2113"/>
      <c r="AM276" s="5077"/>
      <c r="AN276" s="5078"/>
      <c r="AO276" s="5079" t="s">
        <v>516</v>
      </c>
      <c r="AP276" s="5080"/>
      <c r="AQ276" s="5081"/>
      <c r="AR276" s="5082"/>
      <c r="AS276" s="5083"/>
      <c r="AT276" s="5084"/>
      <c r="AU276" s="5085"/>
      <c r="AV276" s="5086"/>
      <c r="AW276" s="5087"/>
      <c r="AX276" s="5088"/>
      <c r="AY276" s="5089"/>
      <c r="AZ276" s="5090"/>
      <c r="BA276" s="5091"/>
      <c r="BB276" s="5092"/>
      <c r="BC276" s="2260"/>
      <c r="BD276" s="1648"/>
      <c r="BE276" s="1630"/>
      <c r="BF276" s="1630"/>
      <c r="BG276" s="1630"/>
      <c r="BH276" s="1630"/>
      <c r="BI276" s="1641">
        <v>0</v>
      </c>
    </row>
    <row customHeight="1" ht="14.25">
      <c r="A277" s="1369"/>
      <c r="B277" s="1369"/>
      <c r="C277" s="1369"/>
      <c r="D277" s="1369"/>
      <c r="E277" s="2265"/>
      <c r="F277" s="2265"/>
      <c r="G277" s="2265"/>
      <c r="H277" s="2265"/>
      <c r="I277" s="2292"/>
      <c r="J277" s="2292"/>
      <c r="K277" s="2262" t="str">
        <f>S273&amp;".1"</f>
        <v>2.1.1.8.1.1</v>
      </c>
      <c r="L277" s="1375"/>
      <c r="M277" s="1782"/>
      <c r="N277" s="1782"/>
      <c r="O277" s="1782"/>
      <c r="P277" s="2380"/>
      <c r="Q277" s="2380"/>
      <c r="R277" s="2353">
        <v>1</v>
      </c>
      <c r="S277" s="2347" t="str">
        <f>$K277</f>
        <v>2.1.1.8.1.1</v>
      </c>
      <c r="T277" s="2366"/>
      <c r="U277" s="306"/>
      <c r="V277" s="757"/>
      <c r="W277" s="1263"/>
      <c r="X277" s="757"/>
      <c r="Y277" s="1263"/>
      <c r="Z277" s="2608"/>
      <c r="AA277" s="2113" t="s">
        <v>62</v>
      </c>
      <c r="AB277" s="2608"/>
      <c r="AC277" s="2113" t="s">
        <v>62</v>
      </c>
      <c r="AD277" s="2191" t="s">
        <v>62</v>
      </c>
      <c r="AE277" s="2332"/>
      <c r="AF277" s="2443">
        <v>1</v>
      </c>
      <c r="AG277" s="2369"/>
      <c r="AH277" s="2113" t="s">
        <v>62</v>
      </c>
      <c r="AI277" s="689" t="s">
        <v>253</v>
      </c>
      <c r="AJ277" s="2443" t="s">
        <v>91</v>
      </c>
      <c r="AK277" s="2333" t="s">
        <v>534</v>
      </c>
      <c r="AL277" s="2113" t="s">
        <v>19</v>
      </c>
      <c r="AM277" s="2300"/>
      <c r="AN277" s="2443">
        <v>1</v>
      </c>
      <c r="AO277" s="2683" t="s">
        <v>28</v>
      </c>
      <c r="AP277" s="2364" t="s">
        <v>62</v>
      </c>
      <c r="AQ277" s="317"/>
      <c r="AR277" s="2443">
        <v>1</v>
      </c>
      <c r="AS277" s="2582" t="s">
        <v>541</v>
      </c>
      <c r="AT277" s="757"/>
      <c r="AU277" s="1263"/>
      <c r="AV277" s="757"/>
      <c r="AW277" s="1263">
        <v>24725.11</v>
      </c>
      <c r="AX277" s="2608">
        <v>46023.62133101852</v>
      </c>
      <c r="AY277" s="2113" t="s">
        <v>62</v>
      </c>
      <c r="AZ277" s="2608">
        <v>46387.642164351855</v>
      </c>
      <c r="BA277" s="2113" t="s">
        <v>62</v>
      </c>
      <c r="BB277" s="1354"/>
      <c r="BC277" s="2259" t="s">
        <v>514</v>
      </c>
      <c r="BD277" s="1648"/>
      <c r="BE277" s="1630"/>
      <c r="BF277" s="1630" t="str">
        <f>IF(T277="","",T277)</f>
        <v/>
      </c>
      <c r="BG277" s="1630"/>
      <c r="BH277" s="1630"/>
      <c r="BI277" s="1641">
        <v>0</v>
      </c>
    </row>
    <row customHeight="1" ht="14.25">
      <c r="A278" s="1369"/>
      <c r="B278" s="1369"/>
      <c r="C278" s="1369"/>
      <c r="D278" s="1369"/>
      <c r="E278" s="2265"/>
      <c r="F278" s="2265"/>
      <c r="G278" s="2265"/>
      <c r="H278" s="2265"/>
      <c r="I278" s="2292"/>
      <c r="J278" s="2292"/>
      <c r="K278" s="2262" t="str">
        <f>S274&amp;".1"</f>
        <v>.1.1.1</v>
      </c>
      <c r="L278" s="1375"/>
      <c r="M278" s="1782"/>
      <c r="N278" s="1782"/>
      <c r="O278" s="1782"/>
      <c r="P278" s="2380"/>
      <c r="Q278" s="2380"/>
      <c r="R278" s="2353">
        <v>1</v>
      </c>
      <c r="S278" s="2347" t="str">
        <f>$K278</f>
        <v>.1.1.1</v>
      </c>
      <c r="T278" s="2366"/>
      <c r="U278" s="306"/>
      <c r="V278" s="757"/>
      <c r="W278" s="1263"/>
      <c r="X278" s="757"/>
      <c r="Y278" s="1263"/>
      <c r="Z278" s="2608"/>
      <c r="AA278" s="2113" t="s">
        <v>62</v>
      </c>
      <c r="AB278" s="2608"/>
      <c r="AC278" s="2113" t="s">
        <v>62</v>
      </c>
      <c r="AD278" s="2191" t="s">
        <v>62</v>
      </c>
      <c r="AE278" s="2332"/>
      <c r="AF278" s="2443">
        <v>1</v>
      </c>
      <c r="AG278" s="2369"/>
      <c r="AH278" s="2113" t="s">
        <v>62</v>
      </c>
      <c r="AI278" s="2332"/>
      <c r="AJ278" s="2443">
        <v>1</v>
      </c>
      <c r="AK278" s="2333" t="s">
        <v>28</v>
      </c>
      <c r="AL278" s="2113" t="s">
        <v>62</v>
      </c>
      <c r="AM278" s="2300"/>
      <c r="AN278" s="2443">
        <v>1</v>
      </c>
      <c r="AO278" s="2683" t="s">
        <v>28</v>
      </c>
      <c r="AP278" s="2364" t="s">
        <v>62</v>
      </c>
      <c r="AQ278" s="689" t="s">
        <v>253</v>
      </c>
      <c r="AR278" s="2443" t="s">
        <v>112</v>
      </c>
      <c r="AS278" s="2582" t="s">
        <v>541</v>
      </c>
      <c r="AT278" s="757"/>
      <c r="AU278" s="1263"/>
      <c r="AV278" s="757"/>
      <c r="AW278" s="1263">
        <v>25255.1</v>
      </c>
      <c r="AX278" s="2608">
        <v>46023.62136574074</v>
      </c>
      <c r="AY278" s="2113" t="s">
        <v>62</v>
      </c>
      <c r="AZ278" s="2608">
        <v>46387.64233796296</v>
      </c>
      <c r="BA278" s="2113" t="s">
        <v>62</v>
      </c>
      <c r="BB278" s="1354"/>
      <c r="BC278" s="2259" t="s">
        <v>514</v>
      </c>
      <c r="BD278" s="1648"/>
      <c r="BE278" s="1630"/>
      <c r="BF278" s="1630" t="str">
        <f>IF(T278="","",T278)</f>
        <v/>
      </c>
      <c r="BG278" s="1630"/>
      <c r="BH278" s="1630"/>
      <c r="BI278" s="1641">
        <v>0</v>
      </c>
    </row>
    <row customHeight="1" ht="14.25">
      <c r="A279" s="1369"/>
      <c r="B279" s="1369"/>
      <c r="C279" s="1369"/>
      <c r="D279" s="1369"/>
      <c r="E279" s="2265"/>
      <c r="F279" s="2265"/>
      <c r="G279" s="2265"/>
      <c r="H279" s="2265"/>
      <c r="I279" s="2292"/>
      <c r="J279" s="2292"/>
      <c r="K279" s="2262"/>
      <c r="L279" s="1375"/>
      <c r="M279" s="1782"/>
      <c r="N279" s="1782"/>
      <c r="O279" s="1782"/>
      <c r="P279" s="2380"/>
      <c r="Q279" s="2380"/>
      <c r="R279" s="2353"/>
      <c r="S279" s="2348"/>
      <c r="T279" s="2367"/>
      <c r="U279" s="306"/>
      <c r="V279" s="5093"/>
      <c r="W279" s="5094"/>
      <c r="X279" s="5095"/>
      <c r="Y279" s="5096"/>
      <c r="Z279" s="5097"/>
      <c r="AA279" s="5098"/>
      <c r="AB279" s="5099"/>
      <c r="AC279" s="5100"/>
      <c r="AD279" s="2192"/>
      <c r="AE279" s="2332"/>
      <c r="AF279" s="2443"/>
      <c r="AG279" s="2369"/>
      <c r="AH279" s="2113"/>
      <c r="AI279" s="2332"/>
      <c r="AJ279" s="2443" t="s">
        <v>112</v>
      </c>
      <c r="AK279" s="2333"/>
      <c r="AL279" s="2113"/>
      <c r="AM279" s="2301"/>
      <c r="AN279" s="2443"/>
      <c r="AO279" s="2683" t="s">
        <v>28</v>
      </c>
      <c r="AP279" s="2365"/>
      <c r="AQ279" s="5101"/>
      <c r="AR279" s="5102"/>
      <c r="AS279" s="5103" t="s">
        <v>515</v>
      </c>
      <c r="AT279" s="5104"/>
      <c r="AU279" s="5105"/>
      <c r="AV279" s="5106"/>
      <c r="AW279" s="5107"/>
      <c r="AX279" s="5108"/>
      <c r="AY279" s="5109"/>
      <c r="AZ279" s="5110"/>
      <c r="BA279" s="5111"/>
      <c r="BB279" s="5112"/>
      <c r="BC279" s="2260"/>
      <c r="BD279" s="1648"/>
      <c r="BE279" s="1630"/>
      <c r="BF279" s="1630"/>
      <c r="BG279" s="1630"/>
      <c r="BH279" s="1630"/>
      <c r="BI279" s="1641">
        <v>0</v>
      </c>
    </row>
    <row customHeight="1" ht="14.25">
      <c r="A280" s="1369"/>
      <c r="B280" s="1369"/>
      <c r="C280" s="1369"/>
      <c r="D280" s="1369"/>
      <c r="E280" s="2265"/>
      <c r="F280" s="2265"/>
      <c r="G280" s="2265"/>
      <c r="H280" s="2265"/>
      <c r="I280" s="2292"/>
      <c r="J280" s="2292"/>
      <c r="K280" s="2262"/>
      <c r="L280" s="1375"/>
      <c r="M280" s="1782"/>
      <c r="N280" s="1782"/>
      <c r="O280" s="1782"/>
      <c r="P280" s="2380"/>
      <c r="Q280" s="2380"/>
      <c r="R280" s="2353"/>
      <c r="S280" s="2348"/>
      <c r="T280" s="2367"/>
      <c r="U280" s="306"/>
      <c r="V280" s="5113"/>
      <c r="W280" s="5114"/>
      <c r="X280" s="5115"/>
      <c r="Y280" s="5116"/>
      <c r="Z280" s="5117"/>
      <c r="AA280" s="5118"/>
      <c r="AB280" s="5119"/>
      <c r="AC280" s="5120"/>
      <c r="AD280" s="2192"/>
      <c r="AE280" s="2332"/>
      <c r="AF280" s="2443"/>
      <c r="AG280" s="2369"/>
      <c r="AH280" s="2113"/>
      <c r="AI280" s="2332"/>
      <c r="AJ280" s="2443" t="s">
        <v>112</v>
      </c>
      <c r="AK280" s="2333"/>
      <c r="AL280" s="2113"/>
      <c r="AM280" s="5121"/>
      <c r="AN280" s="5122"/>
      <c r="AO280" s="5123" t="s">
        <v>516</v>
      </c>
      <c r="AP280" s="5124"/>
      <c r="AQ280" s="5125"/>
      <c r="AR280" s="5126"/>
      <c r="AS280" s="5127"/>
      <c r="AT280" s="5128"/>
      <c r="AU280" s="5129"/>
      <c r="AV280" s="5130"/>
      <c r="AW280" s="5131"/>
      <c r="AX280" s="5132"/>
      <c r="AY280" s="5133"/>
      <c r="AZ280" s="5134"/>
      <c r="BA280" s="5135"/>
      <c r="BB280" s="5136"/>
      <c r="BC280" s="2260"/>
      <c r="BD280" s="1648"/>
      <c r="BE280" s="1630"/>
      <c r="BF280" s="1630"/>
      <c r="BG280" s="1630"/>
      <c r="BH280" s="1630"/>
      <c r="BI280" s="1641">
        <v>0</v>
      </c>
    </row>
    <row customHeight="1" ht="14.25">
      <c r="A281" s="1369"/>
      <c r="B281" s="1369"/>
      <c r="C281" s="1369"/>
      <c r="D281" s="1369"/>
      <c r="E281" s="2265"/>
      <c r="F281" s="2265"/>
      <c r="G281" s="2265"/>
      <c r="H281" s="2265"/>
      <c r="I281" s="2292"/>
      <c r="J281" s="2292"/>
      <c r="K281" s="2262" t="str">
        <f>S277&amp;".1"</f>
        <v>2.1.1.8.1.1.1</v>
      </c>
      <c r="L281" s="1375"/>
      <c r="M281" s="1782"/>
      <c r="N281" s="1782"/>
      <c r="O281" s="1782"/>
      <c r="P281" s="2380"/>
      <c r="Q281" s="2380"/>
      <c r="R281" s="2353">
        <v>1</v>
      </c>
      <c r="S281" s="2347" t="str">
        <f>$K281</f>
        <v>2.1.1.8.1.1.1</v>
      </c>
      <c r="T281" s="2366"/>
      <c r="U281" s="306"/>
      <c r="V281" s="757"/>
      <c r="W281" s="1263"/>
      <c r="X281" s="757"/>
      <c r="Y281" s="1263"/>
      <c r="Z281" s="2608"/>
      <c r="AA281" s="2113" t="s">
        <v>62</v>
      </c>
      <c r="AB281" s="2608"/>
      <c r="AC281" s="2113" t="s">
        <v>62</v>
      </c>
      <c r="AD281" s="2191" t="s">
        <v>62</v>
      </c>
      <c r="AE281" s="2332"/>
      <c r="AF281" s="2443">
        <v>1</v>
      </c>
      <c r="AG281" s="2369"/>
      <c r="AH281" s="2113" t="s">
        <v>62</v>
      </c>
      <c r="AI281" s="689" t="s">
        <v>253</v>
      </c>
      <c r="AJ281" s="2443" t="s">
        <v>92</v>
      </c>
      <c r="AK281" s="2333" t="s">
        <v>535</v>
      </c>
      <c r="AL281" s="2113" t="s">
        <v>19</v>
      </c>
      <c r="AM281" s="2300"/>
      <c r="AN281" s="2443">
        <v>1</v>
      </c>
      <c r="AO281" s="2683" t="s">
        <v>28</v>
      </c>
      <c r="AP281" s="2364" t="s">
        <v>62</v>
      </c>
      <c r="AQ281" s="317"/>
      <c r="AR281" s="2443">
        <v>1</v>
      </c>
      <c r="AS281" s="2582" t="s">
        <v>541</v>
      </c>
      <c r="AT281" s="757"/>
      <c r="AU281" s="1263"/>
      <c r="AV281" s="757"/>
      <c r="AW281" s="1263">
        <v>34266.4</v>
      </c>
      <c r="AX281" s="2608">
        <v>46023.621412037035</v>
      </c>
      <c r="AY281" s="2113" t="s">
        <v>62</v>
      </c>
      <c r="AZ281" s="2608">
        <v>46387.642430555556</v>
      </c>
      <c r="BA281" s="2113" t="s">
        <v>62</v>
      </c>
      <c r="BB281" s="1354"/>
      <c r="BC281" s="2259" t="s">
        <v>514</v>
      </c>
      <c r="BD281" s="1648"/>
      <c r="BE281" s="1630"/>
      <c r="BF281" s="1630" t="str">
        <f>IF(T281="","",T281)</f>
        <v/>
      </c>
      <c r="BG281" s="1630"/>
      <c r="BH281" s="1630"/>
      <c r="BI281" s="1641">
        <v>0</v>
      </c>
    </row>
    <row customHeight="1" ht="14.25">
      <c r="A282" s="1369"/>
      <c r="B282" s="1369"/>
      <c r="C282" s="1369"/>
      <c r="D282" s="1369"/>
      <c r="E282" s="2265"/>
      <c r="F282" s="2265"/>
      <c r="G282" s="2265"/>
      <c r="H282" s="2265"/>
      <c r="I282" s="2292"/>
      <c r="J282" s="2292"/>
      <c r="K282" s="2262" t="str">
        <f>S278&amp;".1"</f>
        <v>.1.1.1.1</v>
      </c>
      <c r="L282" s="1375"/>
      <c r="M282" s="1782"/>
      <c r="N282" s="1782"/>
      <c r="O282" s="1782"/>
      <c r="P282" s="2380"/>
      <c r="Q282" s="2380"/>
      <c r="R282" s="2353">
        <v>1</v>
      </c>
      <c r="S282" s="2347" t="str">
        <f>$K282</f>
        <v>.1.1.1.1</v>
      </c>
      <c r="T282" s="2366"/>
      <c r="U282" s="306"/>
      <c r="V282" s="757"/>
      <c r="W282" s="1263"/>
      <c r="X282" s="757"/>
      <c r="Y282" s="1263"/>
      <c r="Z282" s="2608"/>
      <c r="AA282" s="2113" t="s">
        <v>62</v>
      </c>
      <c r="AB282" s="2608"/>
      <c r="AC282" s="2113" t="s">
        <v>62</v>
      </c>
      <c r="AD282" s="2191" t="s">
        <v>62</v>
      </c>
      <c r="AE282" s="2332"/>
      <c r="AF282" s="2443">
        <v>1</v>
      </c>
      <c r="AG282" s="2369"/>
      <c r="AH282" s="2113" t="s">
        <v>62</v>
      </c>
      <c r="AI282" s="2332"/>
      <c r="AJ282" s="2443">
        <v>1</v>
      </c>
      <c r="AK282" s="2333" t="s">
        <v>28</v>
      </c>
      <c r="AL282" s="2113" t="s">
        <v>62</v>
      </c>
      <c r="AM282" s="2300"/>
      <c r="AN282" s="2443">
        <v>1</v>
      </c>
      <c r="AO282" s="2683" t="s">
        <v>28</v>
      </c>
      <c r="AP282" s="2364" t="s">
        <v>62</v>
      </c>
      <c r="AQ282" s="689" t="s">
        <v>253</v>
      </c>
      <c r="AR282" s="2443" t="s">
        <v>112</v>
      </c>
      <c r="AS282" s="2582" t="s">
        <v>541</v>
      </c>
      <c r="AT282" s="757"/>
      <c r="AU282" s="1263"/>
      <c r="AV282" s="757"/>
      <c r="AW282" s="1263">
        <v>36495.38</v>
      </c>
      <c r="AX282" s="2608">
        <v>46023.621458333335</v>
      </c>
      <c r="AY282" s="2113" t="s">
        <v>62</v>
      </c>
      <c r="AZ282" s="2608">
        <v>46387.64251157407</v>
      </c>
      <c r="BA282" s="2113" t="s">
        <v>62</v>
      </c>
      <c r="BB282" s="1354"/>
      <c r="BC282" s="2259" t="s">
        <v>514</v>
      </c>
      <c r="BD282" s="1648"/>
      <c r="BE282" s="1630"/>
      <c r="BF282" s="1630" t="str">
        <f>IF(T282="","",T282)</f>
        <v/>
      </c>
      <c r="BG282" s="1630"/>
      <c r="BH282" s="1630"/>
      <c r="BI282" s="1641">
        <v>0</v>
      </c>
    </row>
    <row customHeight="1" ht="14.25">
      <c r="A283" s="1369"/>
      <c r="B283" s="1369"/>
      <c r="C283" s="1369"/>
      <c r="D283" s="1369"/>
      <c r="E283" s="2265"/>
      <c r="F283" s="2265"/>
      <c r="G283" s="2265"/>
      <c r="H283" s="2265"/>
      <c r="I283" s="2292"/>
      <c r="J283" s="2292"/>
      <c r="K283" s="2262"/>
      <c r="L283" s="1375"/>
      <c r="M283" s="1782"/>
      <c r="N283" s="1782"/>
      <c r="O283" s="1782"/>
      <c r="P283" s="2380"/>
      <c r="Q283" s="2380"/>
      <c r="R283" s="2353"/>
      <c r="S283" s="2348"/>
      <c r="T283" s="2367"/>
      <c r="U283" s="306"/>
      <c r="V283" s="5137"/>
      <c r="W283" s="5138"/>
      <c r="X283" s="5139"/>
      <c r="Y283" s="5140"/>
      <c r="Z283" s="5141"/>
      <c r="AA283" s="5142"/>
      <c r="AB283" s="5143"/>
      <c r="AC283" s="5144"/>
      <c r="AD283" s="2192"/>
      <c r="AE283" s="2332"/>
      <c r="AF283" s="2443"/>
      <c r="AG283" s="2369"/>
      <c r="AH283" s="2113"/>
      <c r="AI283" s="2332"/>
      <c r="AJ283" s="2443" t="s">
        <v>91</v>
      </c>
      <c r="AK283" s="2333"/>
      <c r="AL283" s="2113"/>
      <c r="AM283" s="2301"/>
      <c r="AN283" s="2443"/>
      <c r="AO283" s="2683" t="s">
        <v>28</v>
      </c>
      <c r="AP283" s="2365"/>
      <c r="AQ283" s="5145"/>
      <c r="AR283" s="5146"/>
      <c r="AS283" s="5147" t="s">
        <v>515</v>
      </c>
      <c r="AT283" s="5148"/>
      <c r="AU283" s="5149"/>
      <c r="AV283" s="5150"/>
      <c r="AW283" s="5151"/>
      <c r="AX283" s="5152"/>
      <c r="AY283" s="5153"/>
      <c r="AZ283" s="5154"/>
      <c r="BA283" s="5155"/>
      <c r="BB283" s="5156"/>
      <c r="BC283" s="2260"/>
      <c r="BD283" s="1648"/>
      <c r="BE283" s="1630"/>
      <c r="BF283" s="1630"/>
      <c r="BG283" s="1630"/>
      <c r="BH283" s="1630"/>
      <c r="BI283" s="1641">
        <v>0</v>
      </c>
    </row>
    <row customHeight="1" ht="14.25">
      <c r="A284" s="1369"/>
      <c r="B284" s="1369"/>
      <c r="C284" s="1369"/>
      <c r="D284" s="1369"/>
      <c r="E284" s="2265"/>
      <c r="F284" s="2265"/>
      <c r="G284" s="2265"/>
      <c r="H284" s="2265"/>
      <c r="I284" s="2292"/>
      <c r="J284" s="2292"/>
      <c r="K284" s="2262"/>
      <c r="L284" s="1375"/>
      <c r="M284" s="1782"/>
      <c r="N284" s="1782"/>
      <c r="O284" s="1782"/>
      <c r="P284" s="2380"/>
      <c r="Q284" s="2380"/>
      <c r="R284" s="2353"/>
      <c r="S284" s="2348"/>
      <c r="T284" s="2367"/>
      <c r="U284" s="306"/>
      <c r="V284" s="5157"/>
      <c r="W284" s="5158"/>
      <c r="X284" s="5159"/>
      <c r="Y284" s="5160"/>
      <c r="Z284" s="5161"/>
      <c r="AA284" s="5162"/>
      <c r="AB284" s="5163"/>
      <c r="AC284" s="5164"/>
      <c r="AD284" s="2192"/>
      <c r="AE284" s="2332"/>
      <c r="AF284" s="2443"/>
      <c r="AG284" s="2369"/>
      <c r="AH284" s="2113"/>
      <c r="AI284" s="2332"/>
      <c r="AJ284" s="2443" t="s">
        <v>91</v>
      </c>
      <c r="AK284" s="2333"/>
      <c r="AL284" s="2113"/>
      <c r="AM284" s="5165"/>
      <c r="AN284" s="5166"/>
      <c r="AO284" s="5167" t="s">
        <v>516</v>
      </c>
      <c r="AP284" s="5168"/>
      <c r="AQ284" s="5169"/>
      <c r="AR284" s="5170"/>
      <c r="AS284" s="5171"/>
      <c r="AT284" s="5172"/>
      <c r="AU284" s="5173"/>
      <c r="AV284" s="5174"/>
      <c r="AW284" s="5175"/>
      <c r="AX284" s="5176"/>
      <c r="AY284" s="5177"/>
      <c r="AZ284" s="5178"/>
      <c r="BA284" s="5179"/>
      <c r="BB284" s="5180"/>
      <c r="BC284" s="2260"/>
      <c r="BD284" s="1648"/>
      <c r="BE284" s="1630"/>
      <c r="BF284" s="1630"/>
      <c r="BG284" s="1630"/>
      <c r="BH284" s="1630"/>
      <c r="BI284" s="1641">
        <v>0</v>
      </c>
    </row>
    <row customHeight="1" ht="14.25">
      <c r="A285" s="1369"/>
      <c r="B285" s="1369"/>
      <c r="C285" s="1369"/>
      <c r="D285" s="1369"/>
      <c r="E285" s="2265"/>
      <c r="F285" s="2265"/>
      <c r="G285" s="2265"/>
      <c r="H285" s="2265"/>
      <c r="I285" s="2292"/>
      <c r="J285" s="2292"/>
      <c r="K285" s="2262" t="str">
        <f>S280&amp;".1"</f>
        <v>.1</v>
      </c>
      <c r="L285" s="1375"/>
      <c r="M285" s="1782"/>
      <c r="N285" s="1782"/>
      <c r="O285" s="1782"/>
      <c r="P285" s="2380"/>
      <c r="Q285" s="2380"/>
      <c r="R285" s="2353">
        <v>1</v>
      </c>
      <c r="S285" s="2347" t="str">
        <f>$K285</f>
        <v>.1</v>
      </c>
      <c r="T285" s="2366"/>
      <c r="U285" s="306"/>
      <c r="V285" s="757"/>
      <c r="W285" s="1263"/>
      <c r="X285" s="757"/>
      <c r="Y285" s="1263"/>
      <c r="Z285" s="2608"/>
      <c r="AA285" s="2113" t="s">
        <v>62</v>
      </c>
      <c r="AB285" s="2608"/>
      <c r="AC285" s="2113" t="s">
        <v>62</v>
      </c>
      <c r="AD285" s="2191" t="s">
        <v>62</v>
      </c>
      <c r="AE285" s="2332"/>
      <c r="AF285" s="2443">
        <v>1</v>
      </c>
      <c r="AG285" s="2369"/>
      <c r="AH285" s="2113" t="s">
        <v>62</v>
      </c>
      <c r="AI285" s="689" t="s">
        <v>253</v>
      </c>
      <c r="AJ285" s="2443" t="s">
        <v>113</v>
      </c>
      <c r="AK285" s="2333" t="s">
        <v>536</v>
      </c>
      <c r="AL285" s="2113" t="s">
        <v>19</v>
      </c>
      <c r="AM285" s="2300"/>
      <c r="AN285" s="2443">
        <v>1</v>
      </c>
      <c r="AO285" s="2683" t="s">
        <v>28</v>
      </c>
      <c r="AP285" s="2364" t="s">
        <v>62</v>
      </c>
      <c r="AQ285" s="317"/>
      <c r="AR285" s="2443">
        <v>1</v>
      </c>
      <c r="AS285" s="2582" t="s">
        <v>541</v>
      </c>
      <c r="AT285" s="757"/>
      <c r="AU285" s="1263"/>
      <c r="AV285" s="757"/>
      <c r="AW285" s="1263">
        <v>41072.98</v>
      </c>
      <c r="AX285" s="2608">
        <v>46023.62150462963</v>
      </c>
      <c r="AY285" s="2113" t="s">
        <v>62</v>
      </c>
      <c r="AZ285" s="2608">
        <v>46387.642592592594</v>
      </c>
      <c r="BA285" s="2113" t="s">
        <v>62</v>
      </c>
      <c r="BB285" s="1354"/>
      <c r="BC285" s="2259" t="s">
        <v>514</v>
      </c>
      <c r="BD285" s="1648"/>
      <c r="BE285" s="1630"/>
      <c r="BF285" s="1630" t="str">
        <f>IF(T285="","",T285)</f>
        <v/>
      </c>
      <c r="BG285" s="1630"/>
      <c r="BH285" s="1630"/>
      <c r="BI285" s="1641">
        <v>0</v>
      </c>
    </row>
    <row customHeight="1" ht="14.25">
      <c r="A286" s="1369"/>
      <c r="B286" s="1369"/>
      <c r="C286" s="1369"/>
      <c r="D286" s="1369"/>
      <c r="E286" s="2265"/>
      <c r="F286" s="2265"/>
      <c r="G286" s="2265"/>
      <c r="H286" s="2265"/>
      <c r="I286" s="2292"/>
      <c r="J286" s="2292"/>
      <c r="K286" s="2262"/>
      <c r="L286" s="1375"/>
      <c r="M286" s="1782"/>
      <c r="N286" s="1782"/>
      <c r="O286" s="1782"/>
      <c r="P286" s="2380"/>
      <c r="Q286" s="2380"/>
      <c r="R286" s="2353"/>
      <c r="S286" s="2348"/>
      <c r="T286" s="2367"/>
      <c r="U286" s="306"/>
      <c r="V286" s="5181"/>
      <c r="W286" s="5182"/>
      <c r="X286" s="5183"/>
      <c r="Y286" s="5184"/>
      <c r="Z286" s="5185"/>
      <c r="AA286" s="5186"/>
      <c r="AB286" s="5187"/>
      <c r="AC286" s="5188"/>
      <c r="AD286" s="2192"/>
      <c r="AE286" s="2332"/>
      <c r="AF286" s="2443"/>
      <c r="AG286" s="2369"/>
      <c r="AH286" s="2113"/>
      <c r="AI286" s="2332"/>
      <c r="AJ286" s="2443" t="s">
        <v>92</v>
      </c>
      <c r="AK286" s="2333"/>
      <c r="AL286" s="2113"/>
      <c r="AM286" s="2301"/>
      <c r="AN286" s="2443"/>
      <c r="AO286" s="2683" t="s">
        <v>28</v>
      </c>
      <c r="AP286" s="2365"/>
      <c r="AQ286" s="5189"/>
      <c r="AR286" s="5190"/>
      <c r="AS286" s="5191" t="s">
        <v>515</v>
      </c>
      <c r="AT286" s="5192"/>
      <c r="AU286" s="5193"/>
      <c r="AV286" s="5194"/>
      <c r="AW286" s="5195"/>
      <c r="AX286" s="5196"/>
      <c r="AY286" s="5197"/>
      <c r="AZ286" s="5198"/>
      <c r="BA286" s="5199"/>
      <c r="BB286" s="5200"/>
      <c r="BC286" s="2260"/>
      <c r="BD286" s="1648"/>
      <c r="BE286" s="1630"/>
      <c r="BF286" s="1630"/>
      <c r="BG286" s="1630"/>
      <c r="BH286" s="1630"/>
      <c r="BI286" s="1641">
        <v>0</v>
      </c>
    </row>
    <row customHeight="1" ht="14.25">
      <c r="A287" s="1369"/>
      <c r="B287" s="1369"/>
      <c r="C287" s="1369"/>
      <c r="D287" s="1369"/>
      <c r="E287" s="2265"/>
      <c r="F287" s="2265"/>
      <c r="G287" s="2265"/>
      <c r="H287" s="2265"/>
      <c r="I287" s="2292"/>
      <c r="J287" s="2292"/>
      <c r="K287" s="2262"/>
      <c r="L287" s="1375"/>
      <c r="M287" s="1782"/>
      <c r="N287" s="1782"/>
      <c r="O287" s="1782"/>
      <c r="P287" s="2380"/>
      <c r="Q287" s="2380"/>
      <c r="R287" s="2353"/>
      <c r="S287" s="2348"/>
      <c r="T287" s="2367"/>
      <c r="U287" s="306"/>
      <c r="V287" s="5201"/>
      <c r="W287" s="5202"/>
      <c r="X287" s="5203"/>
      <c r="Y287" s="5204"/>
      <c r="Z287" s="5205"/>
      <c r="AA287" s="5206"/>
      <c r="AB287" s="5207"/>
      <c r="AC287" s="5208"/>
      <c r="AD287" s="2192"/>
      <c r="AE287" s="2332"/>
      <c r="AF287" s="2443"/>
      <c r="AG287" s="2369"/>
      <c r="AH287" s="2113"/>
      <c r="AI287" s="2332"/>
      <c r="AJ287" s="2443" t="s">
        <v>92</v>
      </c>
      <c r="AK287" s="2333"/>
      <c r="AL287" s="2113"/>
      <c r="AM287" s="5209"/>
      <c r="AN287" s="5210"/>
      <c r="AO287" s="5211" t="s">
        <v>516</v>
      </c>
      <c r="AP287" s="5212"/>
      <c r="AQ287" s="5213"/>
      <c r="AR287" s="5214"/>
      <c r="AS287" s="5215"/>
      <c r="AT287" s="5216"/>
      <c r="AU287" s="5217"/>
      <c r="AV287" s="5218"/>
      <c r="AW287" s="5219"/>
      <c r="AX287" s="5220"/>
      <c r="AY287" s="5221"/>
      <c r="AZ287" s="5222"/>
      <c r="BA287" s="5223"/>
      <c r="BB287" s="5224"/>
      <c r="BC287" s="2260"/>
      <c r="BD287" s="1648"/>
      <c r="BE287" s="1630"/>
      <c r="BF287" s="1630"/>
      <c r="BG287" s="1630"/>
      <c r="BH287" s="1630"/>
      <c r="BI287" s="1641">
        <v>0</v>
      </c>
    </row>
    <row customHeight="1" ht="14.25">
      <c r="A288" s="1369"/>
      <c r="B288" s="1369"/>
      <c r="C288" s="1369"/>
      <c r="D288" s="1369"/>
      <c r="E288" s="2265"/>
      <c r="F288" s="2265"/>
      <c r="G288" s="2265"/>
      <c r="H288" s="2265"/>
      <c r="I288" s="2292"/>
      <c r="J288" s="2292"/>
      <c r="K288" s="2262" t="str">
        <f>S284&amp;".1"</f>
        <v>.1</v>
      </c>
      <c r="L288" s="1375"/>
      <c r="M288" s="1782"/>
      <c r="N288" s="1782"/>
      <c r="O288" s="1782"/>
      <c r="P288" s="2380"/>
      <c r="Q288" s="2380"/>
      <c r="R288" s="2353">
        <v>1</v>
      </c>
      <c r="S288" s="2347" t="str">
        <f>$K288</f>
        <v>.1</v>
      </c>
      <c r="T288" s="2366"/>
      <c r="U288" s="306"/>
      <c r="V288" s="757"/>
      <c r="W288" s="1263"/>
      <c r="X288" s="757"/>
      <c r="Y288" s="1263"/>
      <c r="Z288" s="2608"/>
      <c r="AA288" s="2113" t="s">
        <v>62</v>
      </c>
      <c r="AB288" s="2608"/>
      <c r="AC288" s="2113" t="s">
        <v>62</v>
      </c>
      <c r="AD288" s="2191" t="s">
        <v>62</v>
      </c>
      <c r="AE288" s="2332"/>
      <c r="AF288" s="2443">
        <v>1</v>
      </c>
      <c r="AG288" s="2369"/>
      <c r="AH288" s="2113" t="s">
        <v>62</v>
      </c>
      <c r="AI288" s="689" t="s">
        <v>253</v>
      </c>
      <c r="AJ288" s="2443" t="s">
        <v>93</v>
      </c>
      <c r="AK288" s="2333" t="s">
        <v>537</v>
      </c>
      <c r="AL288" s="2113" t="s">
        <v>19</v>
      </c>
      <c r="AM288" s="2300"/>
      <c r="AN288" s="2443">
        <v>1</v>
      </c>
      <c r="AO288" s="7378" t="s">
        <v>28</v>
      </c>
      <c r="AP288" s="2364" t="s">
        <v>62</v>
      </c>
      <c r="AQ288" s="317"/>
      <c r="AR288" s="2443">
        <v>1</v>
      </c>
      <c r="AS288" s="2582" t="s">
        <v>541</v>
      </c>
      <c r="AT288" s="757"/>
      <c r="AU288" s="1263"/>
      <c r="AV288" s="757"/>
      <c r="AW288" s="1263">
        <v>53618.38</v>
      </c>
      <c r="AX288" s="2608">
        <v>46023.62153935185</v>
      </c>
      <c r="AY288" s="2113" t="s">
        <v>62</v>
      </c>
      <c r="AZ288" s="2608">
        <v>46387.64268518519</v>
      </c>
      <c r="BA288" s="2113" t="s">
        <v>62</v>
      </c>
      <c r="BB288" s="1354"/>
      <c r="BC288" s="2259" t="s">
        <v>514</v>
      </c>
      <c r="BD288" s="1648"/>
      <c r="BE288" s="1630"/>
      <c r="BF288" s="1630" t="str">
        <f>IF(T288="","",T288)</f>
        <v/>
      </c>
      <c r="BG288" s="1630"/>
      <c r="BH288" s="1630"/>
      <c r="BI288" s="1641">
        <v>0</v>
      </c>
    </row>
    <row customHeight="1" ht="14.25">
      <c r="A289" s="1369"/>
      <c r="B289" s="1369"/>
      <c r="C289" s="1369"/>
      <c r="D289" s="1369"/>
      <c r="E289" s="2265"/>
      <c r="F289" s="2265"/>
      <c r="G289" s="2265"/>
      <c r="H289" s="2265"/>
      <c r="I289" s="2292"/>
      <c r="J289" s="2292"/>
      <c r="K289" s="2262"/>
      <c r="L289" s="1375"/>
      <c r="M289" s="1782"/>
      <c r="N289" s="1782"/>
      <c r="O289" s="1782"/>
      <c r="P289" s="2380"/>
      <c r="Q289" s="2380"/>
      <c r="R289" s="2353"/>
      <c r="S289" s="2348"/>
      <c r="T289" s="2367"/>
      <c r="U289" s="306"/>
      <c r="V289" s="5225"/>
      <c r="W289" s="5226"/>
      <c r="X289" s="5227"/>
      <c r="Y289" s="5228"/>
      <c r="Z289" s="5229"/>
      <c r="AA289" s="5230"/>
      <c r="AB289" s="5231"/>
      <c r="AC289" s="5232"/>
      <c r="AD289" s="2192"/>
      <c r="AE289" s="2332"/>
      <c r="AF289" s="2443"/>
      <c r="AG289" s="2369"/>
      <c r="AH289" s="2113"/>
      <c r="AI289" s="2332"/>
      <c r="AJ289" s="2443" t="s">
        <v>113</v>
      </c>
      <c r="AK289" s="2333"/>
      <c r="AL289" s="2113"/>
      <c r="AM289" s="2301"/>
      <c r="AN289" s="2443"/>
      <c r="AO289" s="7378" t="s">
        <v>28</v>
      </c>
      <c r="AP289" s="2365"/>
      <c r="AQ289" s="5233"/>
      <c r="AR289" s="5234"/>
      <c r="AS289" s="5235" t="s">
        <v>515</v>
      </c>
      <c r="AT289" s="5236"/>
      <c r="AU289" s="5237"/>
      <c r="AV289" s="5238"/>
      <c r="AW289" s="5239"/>
      <c r="AX289" s="5240"/>
      <c r="AY289" s="5241"/>
      <c r="AZ289" s="5242"/>
      <c r="BA289" s="5243"/>
      <c r="BB289" s="5244"/>
      <c r="BC289" s="2260"/>
      <c r="BD289" s="1648"/>
      <c r="BE289" s="1630"/>
      <c r="BF289" s="1630"/>
      <c r="BG289" s="1630"/>
      <c r="BH289" s="1630"/>
      <c r="BI289" s="1641">
        <v>0</v>
      </c>
    </row>
    <row customHeight="1" ht="14.25">
      <c r="A290" s="1369"/>
      <c r="B290" s="1369"/>
      <c r="C290" s="1369"/>
      <c r="D290" s="1369"/>
      <c r="E290" s="2265"/>
      <c r="F290" s="2265"/>
      <c r="G290" s="2265"/>
      <c r="H290" s="2265"/>
      <c r="I290" s="2292"/>
      <c r="J290" s="2292"/>
      <c r="K290" s="2262"/>
      <c r="L290" s="1375"/>
      <c r="M290" s="1782"/>
      <c r="N290" s="1782"/>
      <c r="O290" s="1782"/>
      <c r="P290" s="2380"/>
      <c r="Q290" s="2380"/>
      <c r="R290" s="2353"/>
      <c r="S290" s="2348"/>
      <c r="T290" s="2367"/>
      <c r="U290" s="306"/>
      <c r="V290" s="5245"/>
      <c r="W290" s="5246"/>
      <c r="X290" s="5247"/>
      <c r="Y290" s="5248"/>
      <c r="Z290" s="5249"/>
      <c r="AA290" s="5250"/>
      <c r="AB290" s="5251"/>
      <c r="AC290" s="5252"/>
      <c r="AD290" s="2192"/>
      <c r="AE290" s="2332"/>
      <c r="AF290" s="2443"/>
      <c r="AG290" s="2369"/>
      <c r="AH290" s="2113"/>
      <c r="AI290" s="2332"/>
      <c r="AJ290" s="2443" t="s">
        <v>113</v>
      </c>
      <c r="AK290" s="2333"/>
      <c r="AL290" s="2113"/>
      <c r="AM290" s="5253"/>
      <c r="AN290" s="5254"/>
      <c r="AO290" s="5255" t="s">
        <v>516</v>
      </c>
      <c r="AP290" s="5256"/>
      <c r="AQ290" s="5257"/>
      <c r="AR290" s="5258"/>
      <c r="AS290" s="5259"/>
      <c r="AT290" s="5260"/>
      <c r="AU290" s="5261"/>
      <c r="AV290" s="5262"/>
      <c r="AW290" s="5263"/>
      <c r="AX290" s="5264"/>
      <c r="AY290" s="5265"/>
      <c r="AZ290" s="5266"/>
      <c r="BA290" s="5267"/>
      <c r="BB290" s="5268"/>
      <c r="BC290" s="2260"/>
      <c r="BD290" s="1648"/>
      <c r="BE290" s="1630"/>
      <c r="BF290" s="1630"/>
      <c r="BG290" s="1630"/>
      <c r="BH290" s="1630"/>
      <c r="BI290" s="1641">
        <v>0</v>
      </c>
    </row>
    <row customHeight="1" ht="14.25">
      <c r="A291" s="1369"/>
      <c r="B291" s="1369"/>
      <c r="C291" s="1369"/>
      <c r="D291" s="1369"/>
      <c r="E291" s="2265"/>
      <c r="F291" s="2265"/>
      <c r="G291" s="2265"/>
      <c r="H291" s="2265"/>
      <c r="I291" s="2292"/>
      <c r="J291" s="2292"/>
      <c r="K291" s="2262" t="str">
        <f>S65&amp;".7"</f>
        <v>2.1.1.7</v>
      </c>
      <c r="L291" s="1375"/>
      <c r="M291" s="1782"/>
      <c r="N291" s="1782"/>
      <c r="O291" s="1782"/>
      <c r="P291" s="2380"/>
      <c r="Q291" s="2380"/>
      <c r="R291" s="2353"/>
      <c r="S291" s="2348"/>
      <c r="T291" s="2367"/>
      <c r="U291" s="306"/>
      <c r="V291" s="5269"/>
      <c r="W291" s="5270"/>
      <c r="X291" s="5271"/>
      <c r="Y291" s="5272"/>
      <c r="Z291" s="5273"/>
      <c r="AA291" s="5274"/>
      <c r="AB291" s="5275"/>
      <c r="AC291" s="5276"/>
      <c r="AD291" s="2192"/>
      <c r="AE291" s="2332"/>
      <c r="AF291" s="2443"/>
      <c r="AG291" s="2682" t="s">
        <v>28</v>
      </c>
      <c r="AH291" s="2113"/>
      <c r="AI291" s="5277"/>
      <c r="AJ291" s="5278"/>
      <c r="AK291" s="5279" t="s">
        <v>517</v>
      </c>
      <c r="AL291" s="5280"/>
      <c r="AM291" s="5281"/>
      <c r="AN291" s="5282"/>
      <c r="AO291" s="5283"/>
      <c r="AP291" s="5284"/>
      <c r="AQ291" s="5285"/>
      <c r="AR291" s="5286"/>
      <c r="AS291" s="5287"/>
      <c r="AT291" s="5288"/>
      <c r="AU291" s="5289"/>
      <c r="AV291" s="5290"/>
      <c r="AW291" s="5291"/>
      <c r="AX291" s="5292"/>
      <c r="AY291" s="5293"/>
      <c r="AZ291" s="5294"/>
      <c r="BA291" s="5295"/>
      <c r="BB291" s="5296"/>
      <c r="BC291" s="2260"/>
      <c r="BD291" s="1648"/>
      <c r="BE291" s="1630"/>
      <c r="BF291" s="1630"/>
      <c r="BG291" s="1630"/>
      <c r="BH291" s="1630"/>
      <c r="BI291" s="1641">
        <v>0</v>
      </c>
    </row>
    <row customHeight="1" ht="14.25">
      <c r="A292" s="1369"/>
      <c r="B292" s="1369"/>
      <c r="C292" s="1369"/>
      <c r="D292" s="1369"/>
      <c r="E292" s="2265"/>
      <c r="F292" s="2265"/>
      <c r="G292" s="2265"/>
      <c r="H292" s="2265"/>
      <c r="I292" s="2292"/>
      <c r="J292" s="2292"/>
      <c r="K292" s="2262" t="str">
        <f>S65&amp;".7"</f>
        <v>2.1.1.7</v>
      </c>
      <c r="L292" s="1375"/>
      <c r="M292" s="1782"/>
      <c r="N292" s="1782"/>
      <c r="O292" s="1782"/>
      <c r="P292" s="2380"/>
      <c r="Q292" s="2380"/>
      <c r="R292" s="2353"/>
      <c r="S292" s="2349"/>
      <c r="T292" s="2368"/>
      <c r="U292" s="306"/>
      <c r="V292" s="5297"/>
      <c r="W292" s="5298" t="str">
        <f>Z269&amp;"-"&amp;AB269</f>
        <v>-</v>
      </c>
      <c r="X292" s="5299"/>
      <c r="Y292" s="5300" t="str">
        <f>AB269&amp;"-"&amp;AD269</f>
        <v>-нет</v>
      </c>
      <c r="Z292" s="5301"/>
      <c r="AA292" s="5302"/>
      <c r="AB292" s="5303"/>
      <c r="AC292" s="5304"/>
      <c r="AD292" s="2118"/>
      <c r="AE292" s="5305"/>
      <c r="AF292" s="5306"/>
      <c r="AG292" s="5307" t="s">
        <v>518</v>
      </c>
      <c r="AH292" s="5308"/>
      <c r="AI292" s="5309"/>
      <c r="AJ292" s="5310"/>
      <c r="AK292" s="5311"/>
      <c r="AL292" s="5312"/>
      <c r="AM292" s="5313"/>
      <c r="AN292" s="5314"/>
      <c r="AO292" s="5315"/>
      <c r="AP292" s="5316"/>
      <c r="AQ292" s="5317"/>
      <c r="AR292" s="5318"/>
      <c r="AS292" s="5319"/>
      <c r="AT292" s="5320"/>
      <c r="AU292" s="5321" t="str">
        <f>AX269&amp;"-"&amp;AZ269</f>
        <v>46023.62118055556-46387.6418287037</v>
      </c>
      <c r="AV292" s="5322"/>
      <c r="AW292" s="5323" t="str">
        <f>AZ269&amp;"-"&amp;BB269</f>
        <v>46387.6418287037-</v>
      </c>
      <c r="AX292" s="5324"/>
      <c r="AY292" s="5325"/>
      <c r="AZ292" s="5326"/>
      <c r="BA292" s="5327"/>
      <c r="BB292" s="5328" t="str">
        <f>BE269&amp;"-"&amp;BG269</f>
        <v>-</v>
      </c>
      <c r="BC292" s="2260"/>
      <c r="BD292" s="1648"/>
      <c r="BE292" s="1630"/>
      <c r="BF292" s="1630" t="str">
        <f>IF(T292="","",T292)</f>
        <v/>
      </c>
      <c r="BG292" s="1630"/>
      <c r="BH292" s="1630"/>
      <c r="BI292" s="1641">
        <v>0</v>
      </c>
    </row>
    <row customHeight="1" ht="14.25">
      <c r="A293" s="1369"/>
      <c r="B293" s="1369"/>
      <c r="C293" s="1369"/>
      <c r="D293" s="1369"/>
      <c r="E293" s="2265"/>
      <c r="F293" s="2265"/>
      <c r="G293" s="2265"/>
      <c r="H293" s="2265"/>
      <c r="I293" s="2292"/>
      <c r="J293" s="2292"/>
      <c r="K293" s="2262" t="str">
        <f>S65&amp;".9"</f>
        <v>2.1.1.9</v>
      </c>
      <c r="L293" s="1375"/>
      <c r="M293" s="1782"/>
      <c r="N293" s="1782"/>
      <c r="O293" s="1782"/>
      <c r="P293" s="2380"/>
      <c r="Q293" s="2380"/>
      <c r="R293" s="689" t="s">
        <v>253</v>
      </c>
      <c r="S293" s="2347" t="str">
        <f>$K293</f>
        <v>2.1.1.9</v>
      </c>
      <c r="T293" s="2366" t="s">
        <v>546</v>
      </c>
      <c r="U293" s="306"/>
      <c r="V293" s="757"/>
      <c r="W293" s="1263"/>
      <c r="X293" s="757"/>
      <c r="Y293" s="1263"/>
      <c r="Z293" s="2608"/>
      <c r="AA293" s="2113" t="s">
        <v>62</v>
      </c>
      <c r="AB293" s="2608"/>
      <c r="AC293" s="2113" t="s">
        <v>62</v>
      </c>
      <c r="AD293" s="2191" t="s">
        <v>19</v>
      </c>
      <c r="AE293" s="2332"/>
      <c r="AF293" s="2443">
        <v>1</v>
      </c>
      <c r="AG293" s="2682" t="s">
        <v>28</v>
      </c>
      <c r="AH293" s="2113" t="s">
        <v>62</v>
      </c>
      <c r="AI293" s="2332"/>
      <c r="AJ293" s="2443">
        <v>1</v>
      </c>
      <c r="AK293" s="2333" t="s">
        <v>532</v>
      </c>
      <c r="AL293" s="2113" t="s">
        <v>19</v>
      </c>
      <c r="AM293" s="2300"/>
      <c r="AN293" s="2443">
        <v>1</v>
      </c>
      <c r="AO293" s="2683" t="s">
        <v>28</v>
      </c>
      <c r="AP293" s="2364" t="s">
        <v>62</v>
      </c>
      <c r="AQ293" s="317"/>
      <c r="AR293" s="2443">
        <v>1</v>
      </c>
      <c r="AS293" s="2582" t="s">
        <v>541</v>
      </c>
      <c r="AT293" s="757"/>
      <c r="AU293" s="1263"/>
      <c r="AV293" s="757"/>
      <c r="AW293" s="1263">
        <v>11297.55</v>
      </c>
      <c r="AX293" s="2608">
        <v>46023.62158564815</v>
      </c>
      <c r="AY293" s="2113" t="s">
        <v>62</v>
      </c>
      <c r="AZ293" s="2608">
        <v>46387.64277777778</v>
      </c>
      <c r="BA293" s="2113" t="s">
        <v>62</v>
      </c>
      <c r="BB293" s="1354"/>
      <c r="BC293" s="2259" t="s">
        <v>514</v>
      </c>
      <c r="BD293" s="1648"/>
      <c r="BE293" s="1630"/>
      <c r="BF293" s="1630" t="str">
        <f>IF(T293="","",T293)</f>
        <v>Прокладка трубопроводов водоснабжения в непроходных каналах с изоляцией минераловатными плитами и стеклопластиком, с работой на отвале, диаметр труб:</v>
      </c>
      <c r="BG293" s="1630"/>
      <c r="BH293" s="1630"/>
      <c r="BI293" s="1641">
        <v>0</v>
      </c>
    </row>
    <row customHeight="1" ht="14.25">
      <c r="A294" s="1369"/>
      <c r="B294" s="1369"/>
      <c r="C294" s="1369"/>
      <c r="D294" s="1369"/>
      <c r="E294" s="2265"/>
      <c r="F294" s="2265"/>
      <c r="G294" s="2265"/>
      <c r="H294" s="2265"/>
      <c r="I294" s="2292"/>
      <c r="J294" s="2292"/>
      <c r="K294" s="2262" t="str">
        <f>S290&amp;".1"</f>
        <v>.1</v>
      </c>
      <c r="L294" s="1375"/>
      <c r="M294" s="1782"/>
      <c r="N294" s="1782"/>
      <c r="O294" s="1782"/>
      <c r="P294" s="2380"/>
      <c r="Q294" s="2380"/>
      <c r="R294" s="2353">
        <v>1</v>
      </c>
      <c r="S294" s="2347" t="str">
        <f>$K294</f>
        <v>.1</v>
      </c>
      <c r="T294" s="2366"/>
      <c r="U294" s="306"/>
      <c r="V294" s="757"/>
      <c r="W294" s="1263"/>
      <c r="X294" s="757"/>
      <c r="Y294" s="1263"/>
      <c r="Z294" s="2608"/>
      <c r="AA294" s="2113" t="s">
        <v>62</v>
      </c>
      <c r="AB294" s="2608"/>
      <c r="AC294" s="2113" t="s">
        <v>62</v>
      </c>
      <c r="AD294" s="2191" t="s">
        <v>62</v>
      </c>
      <c r="AE294" s="2332"/>
      <c r="AF294" s="2443">
        <v>1</v>
      </c>
      <c r="AG294" s="2369"/>
      <c r="AH294" s="2113" t="s">
        <v>62</v>
      </c>
      <c r="AI294" s="2332"/>
      <c r="AJ294" s="2443">
        <v>1</v>
      </c>
      <c r="AK294" s="2333" t="s">
        <v>28</v>
      </c>
      <c r="AL294" s="2113" t="s">
        <v>62</v>
      </c>
      <c r="AM294" s="2300"/>
      <c r="AN294" s="2443">
        <v>1</v>
      </c>
      <c r="AO294" s="2683" t="s">
        <v>28</v>
      </c>
      <c r="AP294" s="2364" t="s">
        <v>62</v>
      </c>
      <c r="AQ294" s="689" t="s">
        <v>253</v>
      </c>
      <c r="AR294" s="2443" t="s">
        <v>112</v>
      </c>
      <c r="AS294" s="2582" t="s">
        <v>541</v>
      </c>
      <c r="AT294" s="757"/>
      <c r="AU294" s="1263"/>
      <c r="AV294" s="757"/>
      <c r="AW294" s="1263">
        <v>15065.08</v>
      </c>
      <c r="AX294" s="2608">
        <v>46023.62162037037</v>
      </c>
      <c r="AY294" s="2113" t="s">
        <v>62</v>
      </c>
      <c r="AZ294" s="2608">
        <v>46387.642847222225</v>
      </c>
      <c r="BA294" s="2113" t="s">
        <v>62</v>
      </c>
      <c r="BB294" s="1354"/>
      <c r="BC294" s="2259" t="s">
        <v>514</v>
      </c>
      <c r="BD294" s="1648"/>
      <c r="BE294" s="1630"/>
      <c r="BF294" s="1630" t="str">
        <f>IF(T294="","",T294)</f>
        <v/>
      </c>
      <c r="BG294" s="1630"/>
      <c r="BH294" s="1630"/>
      <c r="BI294" s="1641">
        <v>0</v>
      </c>
    </row>
    <row customHeight="1" ht="14.25">
      <c r="A295" s="1369"/>
      <c r="B295" s="1369"/>
      <c r="C295" s="1369"/>
      <c r="D295" s="1369"/>
      <c r="E295" s="2265"/>
      <c r="F295" s="2265"/>
      <c r="G295" s="2265"/>
      <c r="H295" s="2265"/>
      <c r="I295" s="2292"/>
      <c r="J295" s="2292"/>
      <c r="K295" s="2262" t="str">
        <f>S65&amp;".8"</f>
        <v>2.1.1.8</v>
      </c>
      <c r="L295" s="1375"/>
      <c r="M295" s="1782"/>
      <c r="N295" s="1782"/>
      <c r="O295" s="1782"/>
      <c r="P295" s="2380"/>
      <c r="Q295" s="2380"/>
      <c r="R295" s="2353"/>
      <c r="S295" s="2348"/>
      <c r="T295" s="2367"/>
      <c r="U295" s="306"/>
      <c r="V295" s="5329"/>
      <c r="W295" s="5330"/>
      <c r="X295" s="5331"/>
      <c r="Y295" s="5332"/>
      <c r="Z295" s="5333"/>
      <c r="AA295" s="5334"/>
      <c r="AB295" s="5335"/>
      <c r="AC295" s="5336"/>
      <c r="AD295" s="2192"/>
      <c r="AE295" s="2332"/>
      <c r="AF295" s="2443"/>
      <c r="AG295" s="2682" t="s">
        <v>28</v>
      </c>
      <c r="AH295" s="2113"/>
      <c r="AI295" s="2332"/>
      <c r="AJ295" s="2443"/>
      <c r="AK295" s="2333"/>
      <c r="AL295" s="2113"/>
      <c r="AM295" s="2301"/>
      <c r="AN295" s="2443"/>
      <c r="AO295" s="2683" t="s">
        <v>28</v>
      </c>
      <c r="AP295" s="2365"/>
      <c r="AQ295" s="5337"/>
      <c r="AR295" s="5338"/>
      <c r="AS295" s="5339" t="s">
        <v>515</v>
      </c>
      <c r="AT295" s="5340"/>
      <c r="AU295" s="5341"/>
      <c r="AV295" s="5342"/>
      <c r="AW295" s="5343"/>
      <c r="AX295" s="5344"/>
      <c r="AY295" s="5345"/>
      <c r="AZ295" s="5346"/>
      <c r="BA295" s="5347"/>
      <c r="BB295" s="5348"/>
      <c r="BC295" s="2260"/>
      <c r="BD295" s="1648"/>
      <c r="BE295" s="1630"/>
      <c r="BF295" s="1630"/>
      <c r="BG295" s="1630"/>
      <c r="BH295" s="1630"/>
      <c r="BI295" s="1641">
        <v>0</v>
      </c>
    </row>
    <row customHeight="1" ht="14.25">
      <c r="A296" s="1369"/>
      <c r="B296" s="1369"/>
      <c r="C296" s="1369"/>
      <c r="D296" s="1369"/>
      <c r="E296" s="2265"/>
      <c r="F296" s="2265"/>
      <c r="G296" s="2265"/>
      <c r="H296" s="2265"/>
      <c r="I296" s="2292"/>
      <c r="J296" s="2292"/>
      <c r="K296" s="2262" t="str">
        <f>S65&amp;".8"</f>
        <v>2.1.1.8</v>
      </c>
      <c r="L296" s="1375"/>
      <c r="M296" s="1782"/>
      <c r="N296" s="1782"/>
      <c r="O296" s="1782"/>
      <c r="P296" s="2380"/>
      <c r="Q296" s="2380"/>
      <c r="R296" s="2353"/>
      <c r="S296" s="2348"/>
      <c r="T296" s="2367"/>
      <c r="U296" s="306"/>
      <c r="V296" s="5349"/>
      <c r="W296" s="5350"/>
      <c r="X296" s="5351"/>
      <c r="Y296" s="5352"/>
      <c r="Z296" s="5353"/>
      <c r="AA296" s="5354"/>
      <c r="AB296" s="5355"/>
      <c r="AC296" s="5356"/>
      <c r="AD296" s="2192"/>
      <c r="AE296" s="2332"/>
      <c r="AF296" s="2443"/>
      <c r="AG296" s="2682" t="s">
        <v>28</v>
      </c>
      <c r="AH296" s="2113"/>
      <c r="AI296" s="2332"/>
      <c r="AJ296" s="2443"/>
      <c r="AK296" s="2333"/>
      <c r="AL296" s="2113"/>
      <c r="AM296" s="5357"/>
      <c r="AN296" s="5358"/>
      <c r="AO296" s="5359" t="s">
        <v>516</v>
      </c>
      <c r="AP296" s="5360"/>
      <c r="AQ296" s="5361"/>
      <c r="AR296" s="5362"/>
      <c r="AS296" s="5363"/>
      <c r="AT296" s="5364"/>
      <c r="AU296" s="5365"/>
      <c r="AV296" s="5366"/>
      <c r="AW296" s="5367"/>
      <c r="AX296" s="5368"/>
      <c r="AY296" s="5369"/>
      <c r="AZ296" s="5370"/>
      <c r="BA296" s="5371"/>
      <c r="BB296" s="5372"/>
      <c r="BC296" s="2260"/>
      <c r="BD296" s="1648"/>
      <c r="BE296" s="1630"/>
      <c r="BF296" s="1630"/>
      <c r="BG296" s="1630"/>
      <c r="BH296" s="1630"/>
      <c r="BI296" s="1641">
        <v>0</v>
      </c>
    </row>
    <row customHeight="1" ht="14.25">
      <c r="A297" s="1369"/>
      <c r="B297" s="1369"/>
      <c r="C297" s="1369"/>
      <c r="D297" s="1369"/>
      <c r="E297" s="2265"/>
      <c r="F297" s="2265"/>
      <c r="G297" s="2265"/>
      <c r="H297" s="2265"/>
      <c r="I297" s="2292"/>
      <c r="J297" s="2292"/>
      <c r="K297" s="2262" t="str">
        <f>S293&amp;".1"</f>
        <v>2.1.1.9.1</v>
      </c>
      <c r="L297" s="1375"/>
      <c r="M297" s="1782"/>
      <c r="N297" s="1782"/>
      <c r="O297" s="1782"/>
      <c r="P297" s="2380"/>
      <c r="Q297" s="2380"/>
      <c r="R297" s="2353">
        <v>1</v>
      </c>
      <c r="S297" s="2347" t="str">
        <f>$K297</f>
        <v>2.1.1.9.1</v>
      </c>
      <c r="T297" s="2366"/>
      <c r="U297" s="306"/>
      <c r="V297" s="757"/>
      <c r="W297" s="1263"/>
      <c r="X297" s="757"/>
      <c r="Y297" s="1263"/>
      <c r="Z297" s="2608"/>
      <c r="AA297" s="2113" t="s">
        <v>62</v>
      </c>
      <c r="AB297" s="2608"/>
      <c r="AC297" s="2113" t="s">
        <v>62</v>
      </c>
      <c r="AD297" s="2191" t="s">
        <v>62</v>
      </c>
      <c r="AE297" s="2332"/>
      <c r="AF297" s="2443">
        <v>1</v>
      </c>
      <c r="AG297" s="2369"/>
      <c r="AH297" s="2113" t="s">
        <v>62</v>
      </c>
      <c r="AI297" s="689" t="s">
        <v>253</v>
      </c>
      <c r="AJ297" s="2443" t="s">
        <v>112</v>
      </c>
      <c r="AK297" s="2333" t="s">
        <v>533</v>
      </c>
      <c r="AL297" s="2113" t="s">
        <v>19</v>
      </c>
      <c r="AM297" s="2300"/>
      <c r="AN297" s="2443">
        <v>1</v>
      </c>
      <c r="AO297" s="2683" t="s">
        <v>28</v>
      </c>
      <c r="AP297" s="2364" t="s">
        <v>62</v>
      </c>
      <c r="AQ297" s="317"/>
      <c r="AR297" s="2443">
        <v>1</v>
      </c>
      <c r="AS297" s="2582" t="s">
        <v>541</v>
      </c>
      <c r="AT297" s="757"/>
      <c r="AU297" s="1263"/>
      <c r="AV297" s="757"/>
      <c r="AW297" s="1263">
        <v>16959.95</v>
      </c>
      <c r="AX297" s="2608">
        <v>46023.62165509259</v>
      </c>
      <c r="AY297" s="2113" t="s">
        <v>62</v>
      </c>
      <c r="AZ297" s="2608">
        <v>46387.64292824074</v>
      </c>
      <c r="BA297" s="2113" t="s">
        <v>62</v>
      </c>
      <c r="BB297" s="1354"/>
      <c r="BC297" s="2259" t="s">
        <v>514</v>
      </c>
      <c r="BD297" s="1648"/>
      <c r="BE297" s="1630"/>
      <c r="BF297" s="1630" t="str">
        <f>IF(T297="","",T297)</f>
        <v/>
      </c>
      <c r="BG297" s="1630"/>
      <c r="BH297" s="1630"/>
      <c r="BI297" s="1641">
        <v>0</v>
      </c>
    </row>
    <row customHeight="1" ht="14.25">
      <c r="A298" s="1369"/>
      <c r="B298" s="1369"/>
      <c r="C298" s="1369"/>
      <c r="D298" s="1369"/>
      <c r="E298" s="2265"/>
      <c r="F298" s="2265"/>
      <c r="G298" s="2265"/>
      <c r="H298" s="2265"/>
      <c r="I298" s="2292"/>
      <c r="J298" s="2292"/>
      <c r="K298" s="2262" t="str">
        <f>S294&amp;".1"</f>
        <v>.1.1</v>
      </c>
      <c r="L298" s="1375"/>
      <c r="M298" s="1782"/>
      <c r="N298" s="1782"/>
      <c r="O298" s="1782"/>
      <c r="P298" s="2380"/>
      <c r="Q298" s="2380"/>
      <c r="R298" s="2353">
        <v>1</v>
      </c>
      <c r="S298" s="2347" t="str">
        <f>$K298</f>
        <v>.1.1</v>
      </c>
      <c r="T298" s="2366"/>
      <c r="U298" s="306"/>
      <c r="V298" s="757"/>
      <c r="W298" s="1263"/>
      <c r="X298" s="757"/>
      <c r="Y298" s="1263"/>
      <c r="Z298" s="2608"/>
      <c r="AA298" s="2113" t="s">
        <v>62</v>
      </c>
      <c r="AB298" s="2608"/>
      <c r="AC298" s="2113" t="s">
        <v>62</v>
      </c>
      <c r="AD298" s="2191" t="s">
        <v>62</v>
      </c>
      <c r="AE298" s="2332"/>
      <c r="AF298" s="2443">
        <v>1</v>
      </c>
      <c r="AG298" s="2369"/>
      <c r="AH298" s="2113" t="s">
        <v>62</v>
      </c>
      <c r="AI298" s="2332"/>
      <c r="AJ298" s="2443">
        <v>1</v>
      </c>
      <c r="AK298" s="2333" t="s">
        <v>28</v>
      </c>
      <c r="AL298" s="2113" t="s">
        <v>62</v>
      </c>
      <c r="AM298" s="2300"/>
      <c r="AN298" s="2443">
        <v>1</v>
      </c>
      <c r="AO298" s="2683" t="s">
        <v>28</v>
      </c>
      <c r="AP298" s="2364" t="s">
        <v>62</v>
      </c>
      <c r="AQ298" s="689" t="s">
        <v>253</v>
      </c>
      <c r="AR298" s="2443" t="s">
        <v>112</v>
      </c>
      <c r="AS298" s="2582" t="s">
        <v>541</v>
      </c>
      <c r="AT298" s="757"/>
      <c r="AU298" s="1263"/>
      <c r="AV298" s="757"/>
      <c r="AW298" s="1263">
        <v>21020.78</v>
      </c>
      <c r="AX298" s="2608">
        <v>46023.62168981481</v>
      </c>
      <c r="AY298" s="2113" t="s">
        <v>62</v>
      </c>
      <c r="AZ298" s="2608">
        <v>46387.64302083333</v>
      </c>
      <c r="BA298" s="2113" t="s">
        <v>62</v>
      </c>
      <c r="BB298" s="1354"/>
      <c r="BC298" s="2259" t="s">
        <v>514</v>
      </c>
      <c r="BD298" s="1648"/>
      <c r="BE298" s="1630"/>
      <c r="BF298" s="1630" t="str">
        <f>IF(T298="","",T298)</f>
        <v/>
      </c>
      <c r="BG298" s="1630"/>
      <c r="BH298" s="1630"/>
      <c r="BI298" s="1641">
        <v>0</v>
      </c>
    </row>
    <row customHeight="1" ht="14.25">
      <c r="A299" s="1369"/>
      <c r="B299" s="1369"/>
      <c r="C299" s="1369"/>
      <c r="D299" s="1369"/>
      <c r="E299" s="2265"/>
      <c r="F299" s="2265"/>
      <c r="G299" s="2265"/>
      <c r="H299" s="2265"/>
      <c r="I299" s="2292"/>
      <c r="J299" s="2292"/>
      <c r="K299" s="2262"/>
      <c r="L299" s="1375"/>
      <c r="M299" s="1782"/>
      <c r="N299" s="1782"/>
      <c r="O299" s="1782"/>
      <c r="P299" s="2380"/>
      <c r="Q299" s="2380"/>
      <c r="R299" s="2353"/>
      <c r="S299" s="2348"/>
      <c r="T299" s="2367"/>
      <c r="U299" s="306"/>
      <c r="V299" s="5373"/>
      <c r="W299" s="5374"/>
      <c r="X299" s="5375"/>
      <c r="Y299" s="5376"/>
      <c r="Z299" s="5377"/>
      <c r="AA299" s="5378"/>
      <c r="AB299" s="5379"/>
      <c r="AC299" s="5380"/>
      <c r="AD299" s="2192"/>
      <c r="AE299" s="2332"/>
      <c r="AF299" s="2443"/>
      <c r="AG299" s="2369"/>
      <c r="AH299" s="2113"/>
      <c r="AI299" s="2332"/>
      <c r="AJ299" s="2443">
        <v>1</v>
      </c>
      <c r="AK299" s="2333"/>
      <c r="AL299" s="2113"/>
      <c r="AM299" s="2301"/>
      <c r="AN299" s="2443"/>
      <c r="AO299" s="2683" t="s">
        <v>28</v>
      </c>
      <c r="AP299" s="2365"/>
      <c r="AQ299" s="5381"/>
      <c r="AR299" s="5382"/>
      <c r="AS299" s="5383" t="s">
        <v>515</v>
      </c>
      <c r="AT299" s="5384"/>
      <c r="AU299" s="5385"/>
      <c r="AV299" s="5386"/>
      <c r="AW299" s="5387"/>
      <c r="AX299" s="5388"/>
      <c r="AY299" s="5389"/>
      <c r="AZ299" s="5390"/>
      <c r="BA299" s="5391"/>
      <c r="BB299" s="5392"/>
      <c r="BC299" s="2260"/>
      <c r="BD299" s="1648"/>
      <c r="BE299" s="1630"/>
      <c r="BF299" s="1630"/>
      <c r="BG299" s="1630"/>
      <c r="BH299" s="1630"/>
      <c r="BI299" s="1641">
        <v>0</v>
      </c>
    </row>
    <row customHeight="1" ht="14.25">
      <c r="A300" s="1369"/>
      <c r="B300" s="1369"/>
      <c r="C300" s="1369"/>
      <c r="D300" s="1369"/>
      <c r="E300" s="2265"/>
      <c r="F300" s="2265"/>
      <c r="G300" s="2265"/>
      <c r="H300" s="2265"/>
      <c r="I300" s="2292"/>
      <c r="J300" s="2292"/>
      <c r="K300" s="2262"/>
      <c r="L300" s="1375"/>
      <c r="M300" s="1782"/>
      <c r="N300" s="1782"/>
      <c r="O300" s="1782"/>
      <c r="P300" s="2380"/>
      <c r="Q300" s="2380"/>
      <c r="R300" s="2353"/>
      <c r="S300" s="2348"/>
      <c r="T300" s="2367"/>
      <c r="U300" s="306"/>
      <c r="V300" s="5393"/>
      <c r="W300" s="5394"/>
      <c r="X300" s="5395"/>
      <c r="Y300" s="5396"/>
      <c r="Z300" s="5397"/>
      <c r="AA300" s="5398"/>
      <c r="AB300" s="5399"/>
      <c r="AC300" s="5400"/>
      <c r="AD300" s="2192"/>
      <c r="AE300" s="2332"/>
      <c r="AF300" s="2443"/>
      <c r="AG300" s="2369"/>
      <c r="AH300" s="2113"/>
      <c r="AI300" s="2332"/>
      <c r="AJ300" s="2443">
        <v>1</v>
      </c>
      <c r="AK300" s="2333"/>
      <c r="AL300" s="2113"/>
      <c r="AM300" s="5401"/>
      <c r="AN300" s="5402"/>
      <c r="AO300" s="5403" t="s">
        <v>516</v>
      </c>
      <c r="AP300" s="5404"/>
      <c r="AQ300" s="5405"/>
      <c r="AR300" s="5406"/>
      <c r="AS300" s="5407"/>
      <c r="AT300" s="5408"/>
      <c r="AU300" s="5409"/>
      <c r="AV300" s="5410"/>
      <c r="AW300" s="5411"/>
      <c r="AX300" s="5412"/>
      <c r="AY300" s="5413"/>
      <c r="AZ300" s="5414"/>
      <c r="BA300" s="5415"/>
      <c r="BB300" s="5416"/>
      <c r="BC300" s="2260"/>
      <c r="BD300" s="1648"/>
      <c r="BE300" s="1630"/>
      <c r="BF300" s="1630"/>
      <c r="BG300" s="1630"/>
      <c r="BH300" s="1630"/>
      <c r="BI300" s="1641">
        <v>0</v>
      </c>
    </row>
    <row customHeight="1" ht="14.25">
      <c r="A301" s="1369"/>
      <c r="B301" s="1369"/>
      <c r="C301" s="1369"/>
      <c r="D301" s="1369"/>
      <c r="E301" s="2265"/>
      <c r="F301" s="2265"/>
      <c r="G301" s="2265"/>
      <c r="H301" s="2265"/>
      <c r="I301" s="2292"/>
      <c r="J301" s="2292"/>
      <c r="K301" s="2262" t="str">
        <f>S296&amp;".1"</f>
        <v>.1</v>
      </c>
      <c r="L301" s="1375"/>
      <c r="M301" s="1782"/>
      <c r="N301" s="1782"/>
      <c r="O301" s="1782"/>
      <c r="P301" s="2380"/>
      <c r="Q301" s="2380"/>
      <c r="R301" s="2353">
        <v>1</v>
      </c>
      <c r="S301" s="2347" t="str">
        <f>$K301</f>
        <v>.1</v>
      </c>
      <c r="T301" s="2366"/>
      <c r="U301" s="306"/>
      <c r="V301" s="757"/>
      <c r="W301" s="1263"/>
      <c r="X301" s="757"/>
      <c r="Y301" s="1263"/>
      <c r="Z301" s="2608"/>
      <c r="AA301" s="2113" t="s">
        <v>62</v>
      </c>
      <c r="AB301" s="2608"/>
      <c r="AC301" s="2113" t="s">
        <v>62</v>
      </c>
      <c r="AD301" s="2191" t="s">
        <v>62</v>
      </c>
      <c r="AE301" s="2332"/>
      <c r="AF301" s="2443">
        <v>1</v>
      </c>
      <c r="AG301" s="2369"/>
      <c r="AH301" s="2113" t="s">
        <v>62</v>
      </c>
      <c r="AI301" s="689" t="s">
        <v>253</v>
      </c>
      <c r="AJ301" s="2443" t="s">
        <v>91</v>
      </c>
      <c r="AK301" s="2333" t="s">
        <v>534</v>
      </c>
      <c r="AL301" s="2113" t="s">
        <v>19</v>
      </c>
      <c r="AM301" s="2300"/>
      <c r="AN301" s="2443">
        <v>1</v>
      </c>
      <c r="AO301" s="2683" t="s">
        <v>28</v>
      </c>
      <c r="AP301" s="2364" t="s">
        <v>62</v>
      </c>
      <c r="AQ301" s="317"/>
      <c r="AR301" s="2443">
        <v>1</v>
      </c>
      <c r="AS301" s="2582" t="s">
        <v>541</v>
      </c>
      <c r="AT301" s="757"/>
      <c r="AU301" s="1263"/>
      <c r="AV301" s="757"/>
      <c r="AW301" s="1263">
        <v>23887.27</v>
      </c>
      <c r="AX301" s="2608">
        <v>46023.621724537035</v>
      </c>
      <c r="AY301" s="2113" t="s">
        <v>62</v>
      </c>
      <c r="AZ301" s="2608">
        <v>46387.643113425926</v>
      </c>
      <c r="BA301" s="2113" t="s">
        <v>62</v>
      </c>
      <c r="BB301" s="1354"/>
      <c r="BC301" s="2259" t="s">
        <v>514</v>
      </c>
      <c r="BD301" s="1648"/>
      <c r="BE301" s="1630"/>
      <c r="BF301" s="1630" t="str">
        <f>IF(T301="","",T301)</f>
        <v/>
      </c>
      <c r="BG301" s="1630"/>
      <c r="BH301" s="1630"/>
      <c r="BI301" s="1641">
        <v>0</v>
      </c>
    </row>
    <row customHeight="1" ht="14.25">
      <c r="A302" s="1369"/>
      <c r="B302" s="1369"/>
      <c r="C302" s="1369"/>
      <c r="D302" s="1369"/>
      <c r="E302" s="2265"/>
      <c r="F302" s="2265"/>
      <c r="G302" s="2265"/>
      <c r="H302" s="2265"/>
      <c r="I302" s="2292"/>
      <c r="J302" s="2292"/>
      <c r="K302" s="2262" t="str">
        <f>S298&amp;".1"</f>
        <v>.1.1.1</v>
      </c>
      <c r="L302" s="1375"/>
      <c r="M302" s="1782"/>
      <c r="N302" s="1782"/>
      <c r="O302" s="1782"/>
      <c r="P302" s="2380"/>
      <c r="Q302" s="2380"/>
      <c r="R302" s="2353">
        <v>1</v>
      </c>
      <c r="S302" s="2347" t="str">
        <f>$K302</f>
        <v>.1.1.1</v>
      </c>
      <c r="T302" s="2366"/>
      <c r="U302" s="306"/>
      <c r="V302" s="757"/>
      <c r="W302" s="1263"/>
      <c r="X302" s="757"/>
      <c r="Y302" s="1263"/>
      <c r="Z302" s="2608"/>
      <c r="AA302" s="2113" t="s">
        <v>62</v>
      </c>
      <c r="AB302" s="2608"/>
      <c r="AC302" s="2113" t="s">
        <v>62</v>
      </c>
      <c r="AD302" s="2191" t="s">
        <v>62</v>
      </c>
      <c r="AE302" s="2332"/>
      <c r="AF302" s="2443">
        <v>1</v>
      </c>
      <c r="AG302" s="2369"/>
      <c r="AH302" s="2113" t="s">
        <v>62</v>
      </c>
      <c r="AI302" s="2332"/>
      <c r="AJ302" s="2443">
        <v>1</v>
      </c>
      <c r="AK302" s="2333" t="s">
        <v>28</v>
      </c>
      <c r="AL302" s="2113" t="s">
        <v>62</v>
      </c>
      <c r="AM302" s="2300"/>
      <c r="AN302" s="2443">
        <v>1</v>
      </c>
      <c r="AO302" s="2683" t="s">
        <v>28</v>
      </c>
      <c r="AP302" s="2364" t="s">
        <v>62</v>
      </c>
      <c r="AQ302" s="689" t="s">
        <v>253</v>
      </c>
      <c r="AR302" s="2443" t="s">
        <v>112</v>
      </c>
      <c r="AS302" s="2582" t="s">
        <v>541</v>
      </c>
      <c r="AT302" s="757"/>
      <c r="AU302" s="1263"/>
      <c r="AV302" s="757"/>
      <c r="AW302" s="1263">
        <v>24928.2</v>
      </c>
      <c r="AX302" s="2608">
        <v>46023.62174768518</v>
      </c>
      <c r="AY302" s="2113" t="s">
        <v>62</v>
      </c>
      <c r="AZ302" s="2608">
        <v>46387.64320601852</v>
      </c>
      <c r="BA302" s="2113" t="s">
        <v>62</v>
      </c>
      <c r="BB302" s="1354"/>
      <c r="BC302" s="2259" t="s">
        <v>514</v>
      </c>
      <c r="BD302" s="1648"/>
      <c r="BE302" s="1630"/>
      <c r="BF302" s="1630" t="str">
        <f>IF(T302="","",T302)</f>
        <v/>
      </c>
      <c r="BG302" s="1630"/>
      <c r="BH302" s="1630"/>
      <c r="BI302" s="1641">
        <v>0</v>
      </c>
    </row>
    <row customHeight="1" ht="14.25">
      <c r="A303" s="1369"/>
      <c r="B303" s="1369"/>
      <c r="C303" s="1369"/>
      <c r="D303" s="1369"/>
      <c r="E303" s="2265"/>
      <c r="F303" s="2265"/>
      <c r="G303" s="2265"/>
      <c r="H303" s="2265"/>
      <c r="I303" s="2292"/>
      <c r="J303" s="2292"/>
      <c r="K303" s="2262"/>
      <c r="L303" s="1375"/>
      <c r="M303" s="1782"/>
      <c r="N303" s="1782"/>
      <c r="O303" s="1782"/>
      <c r="P303" s="2380"/>
      <c r="Q303" s="2380"/>
      <c r="R303" s="2353"/>
      <c r="S303" s="2348"/>
      <c r="T303" s="2367"/>
      <c r="U303" s="306"/>
      <c r="V303" s="5417"/>
      <c r="W303" s="5418"/>
      <c r="X303" s="5419"/>
      <c r="Y303" s="5420"/>
      <c r="Z303" s="5421"/>
      <c r="AA303" s="5422"/>
      <c r="AB303" s="5423"/>
      <c r="AC303" s="5424"/>
      <c r="AD303" s="2192"/>
      <c r="AE303" s="2332"/>
      <c r="AF303" s="2443"/>
      <c r="AG303" s="2369"/>
      <c r="AH303" s="2113"/>
      <c r="AI303" s="2332"/>
      <c r="AJ303" s="2443" t="s">
        <v>112</v>
      </c>
      <c r="AK303" s="2333"/>
      <c r="AL303" s="2113"/>
      <c r="AM303" s="2301"/>
      <c r="AN303" s="2443"/>
      <c r="AO303" s="2683" t="s">
        <v>28</v>
      </c>
      <c r="AP303" s="2365"/>
      <c r="AQ303" s="5425"/>
      <c r="AR303" s="5426"/>
      <c r="AS303" s="5427" t="s">
        <v>515</v>
      </c>
      <c r="AT303" s="5428"/>
      <c r="AU303" s="5429"/>
      <c r="AV303" s="5430"/>
      <c r="AW303" s="5431"/>
      <c r="AX303" s="5432"/>
      <c r="AY303" s="5433"/>
      <c r="AZ303" s="5434"/>
      <c r="BA303" s="5435"/>
      <c r="BB303" s="5436"/>
      <c r="BC303" s="2260"/>
      <c r="BD303" s="1648"/>
      <c r="BE303" s="1630"/>
      <c r="BF303" s="1630"/>
      <c r="BG303" s="1630"/>
      <c r="BH303" s="1630"/>
      <c r="BI303" s="1641">
        <v>0</v>
      </c>
    </row>
    <row customHeight="1" ht="14.25">
      <c r="A304" s="1369"/>
      <c r="B304" s="1369"/>
      <c r="C304" s="1369"/>
      <c r="D304" s="1369"/>
      <c r="E304" s="2265"/>
      <c r="F304" s="2265"/>
      <c r="G304" s="2265"/>
      <c r="H304" s="2265"/>
      <c r="I304" s="2292"/>
      <c r="J304" s="2292"/>
      <c r="K304" s="2262"/>
      <c r="L304" s="1375"/>
      <c r="M304" s="1782"/>
      <c r="N304" s="1782"/>
      <c r="O304" s="1782"/>
      <c r="P304" s="2380"/>
      <c r="Q304" s="2380"/>
      <c r="R304" s="2353"/>
      <c r="S304" s="2348"/>
      <c r="T304" s="2367"/>
      <c r="U304" s="306"/>
      <c r="V304" s="5437"/>
      <c r="W304" s="5438"/>
      <c r="X304" s="5439"/>
      <c r="Y304" s="5440"/>
      <c r="Z304" s="5441"/>
      <c r="AA304" s="5442"/>
      <c r="AB304" s="5443"/>
      <c r="AC304" s="5444"/>
      <c r="AD304" s="2192"/>
      <c r="AE304" s="2332"/>
      <c r="AF304" s="2443"/>
      <c r="AG304" s="2369"/>
      <c r="AH304" s="2113"/>
      <c r="AI304" s="2332"/>
      <c r="AJ304" s="2443" t="s">
        <v>112</v>
      </c>
      <c r="AK304" s="2333"/>
      <c r="AL304" s="2113"/>
      <c r="AM304" s="5445"/>
      <c r="AN304" s="5446"/>
      <c r="AO304" s="5447" t="s">
        <v>516</v>
      </c>
      <c r="AP304" s="5448"/>
      <c r="AQ304" s="5449"/>
      <c r="AR304" s="5450"/>
      <c r="AS304" s="5451"/>
      <c r="AT304" s="5452"/>
      <c r="AU304" s="5453"/>
      <c r="AV304" s="5454"/>
      <c r="AW304" s="5455"/>
      <c r="AX304" s="5456"/>
      <c r="AY304" s="5457"/>
      <c r="AZ304" s="5458"/>
      <c r="BA304" s="5459"/>
      <c r="BB304" s="5460"/>
      <c r="BC304" s="2260"/>
      <c r="BD304" s="1648"/>
      <c r="BE304" s="1630"/>
      <c r="BF304" s="1630"/>
      <c r="BG304" s="1630"/>
      <c r="BH304" s="1630"/>
      <c r="BI304" s="1641">
        <v>0</v>
      </c>
    </row>
    <row customHeight="1" ht="14.25">
      <c r="A305" s="1369"/>
      <c r="B305" s="1369"/>
      <c r="C305" s="1369"/>
      <c r="D305" s="1369"/>
      <c r="E305" s="2265"/>
      <c r="F305" s="2265"/>
      <c r="G305" s="2265"/>
      <c r="H305" s="2265"/>
      <c r="I305" s="2292"/>
      <c r="J305" s="2292"/>
      <c r="K305" s="2262" t="str">
        <f>S300&amp;".1"</f>
        <v>.1</v>
      </c>
      <c r="L305" s="1375"/>
      <c r="M305" s="1782"/>
      <c r="N305" s="1782"/>
      <c r="O305" s="1782"/>
      <c r="P305" s="2380"/>
      <c r="Q305" s="2380"/>
      <c r="R305" s="2353">
        <v>1</v>
      </c>
      <c r="S305" s="2347" t="str">
        <f>$K305</f>
        <v>.1</v>
      </c>
      <c r="T305" s="2366"/>
      <c r="U305" s="306"/>
      <c r="V305" s="757"/>
      <c r="W305" s="1263"/>
      <c r="X305" s="757"/>
      <c r="Y305" s="1263"/>
      <c r="Z305" s="2608"/>
      <c r="AA305" s="2113" t="s">
        <v>62</v>
      </c>
      <c r="AB305" s="2608"/>
      <c r="AC305" s="2113" t="s">
        <v>62</v>
      </c>
      <c r="AD305" s="2191" t="s">
        <v>62</v>
      </c>
      <c r="AE305" s="2332"/>
      <c r="AF305" s="2443">
        <v>1</v>
      </c>
      <c r="AG305" s="2369"/>
      <c r="AH305" s="2113" t="s">
        <v>62</v>
      </c>
      <c r="AI305" s="689" t="s">
        <v>253</v>
      </c>
      <c r="AJ305" s="2443" t="s">
        <v>92</v>
      </c>
      <c r="AK305" s="2333" t="s">
        <v>535</v>
      </c>
      <c r="AL305" s="2113" t="s">
        <v>19</v>
      </c>
      <c r="AM305" s="2300"/>
      <c r="AN305" s="2443">
        <v>1</v>
      </c>
      <c r="AO305" s="2683" t="s">
        <v>28</v>
      </c>
      <c r="AP305" s="2364" t="s">
        <v>62</v>
      </c>
      <c r="AQ305" s="317"/>
      <c r="AR305" s="2443">
        <v>1</v>
      </c>
      <c r="AS305" s="2582" t="s">
        <v>541</v>
      </c>
      <c r="AT305" s="757"/>
      <c r="AU305" s="1263"/>
      <c r="AV305" s="757"/>
      <c r="AW305" s="1263">
        <v>33030.72</v>
      </c>
      <c r="AX305" s="2608">
        <v>46023.62179398148</v>
      </c>
      <c r="AY305" s="2113" t="s">
        <v>62</v>
      </c>
      <c r="AZ305" s="2608">
        <v>46387.64329861111</v>
      </c>
      <c r="BA305" s="2113" t="s">
        <v>62</v>
      </c>
      <c r="BB305" s="1354"/>
      <c r="BC305" s="2259" t="s">
        <v>514</v>
      </c>
      <c r="BD305" s="1648"/>
      <c r="BE305" s="1630"/>
      <c r="BF305" s="1630" t="str">
        <f>IF(T305="","",T305)</f>
        <v/>
      </c>
      <c r="BG305" s="1630"/>
      <c r="BH305" s="1630"/>
      <c r="BI305" s="1641">
        <v>0</v>
      </c>
    </row>
    <row customHeight="1" ht="14.25">
      <c r="A306" s="1369"/>
      <c r="B306" s="1369"/>
      <c r="C306" s="1369"/>
      <c r="D306" s="1369"/>
      <c r="E306" s="2265"/>
      <c r="F306" s="2265"/>
      <c r="G306" s="2265"/>
      <c r="H306" s="2265"/>
      <c r="I306" s="2292"/>
      <c r="J306" s="2292"/>
      <c r="K306" s="2262" t="str">
        <f>S302&amp;".1"</f>
        <v>.1.1.1.1</v>
      </c>
      <c r="L306" s="1375"/>
      <c r="M306" s="1782"/>
      <c r="N306" s="1782"/>
      <c r="O306" s="1782"/>
      <c r="P306" s="2380"/>
      <c r="Q306" s="2380"/>
      <c r="R306" s="2353">
        <v>1</v>
      </c>
      <c r="S306" s="2347" t="str">
        <f>$K306</f>
        <v>.1.1.1.1</v>
      </c>
      <c r="T306" s="2366"/>
      <c r="U306" s="306"/>
      <c r="V306" s="757"/>
      <c r="W306" s="1263"/>
      <c r="X306" s="757"/>
      <c r="Y306" s="1263"/>
      <c r="Z306" s="2608"/>
      <c r="AA306" s="2113" t="s">
        <v>62</v>
      </c>
      <c r="AB306" s="2608"/>
      <c r="AC306" s="2113" t="s">
        <v>62</v>
      </c>
      <c r="AD306" s="2191" t="s">
        <v>62</v>
      </c>
      <c r="AE306" s="2332"/>
      <c r="AF306" s="2443">
        <v>1</v>
      </c>
      <c r="AG306" s="2369"/>
      <c r="AH306" s="2113" t="s">
        <v>62</v>
      </c>
      <c r="AI306" s="2332"/>
      <c r="AJ306" s="2443">
        <v>1</v>
      </c>
      <c r="AK306" s="2333" t="s">
        <v>28</v>
      </c>
      <c r="AL306" s="2113" t="s">
        <v>62</v>
      </c>
      <c r="AM306" s="2300"/>
      <c r="AN306" s="2443">
        <v>1</v>
      </c>
      <c r="AO306" s="2683" t="s">
        <v>28</v>
      </c>
      <c r="AP306" s="2364" t="s">
        <v>62</v>
      </c>
      <c r="AQ306" s="689" t="s">
        <v>253</v>
      </c>
      <c r="AR306" s="2443" t="s">
        <v>112</v>
      </c>
      <c r="AS306" s="2582" t="s">
        <v>541</v>
      </c>
      <c r="AT306" s="757"/>
      <c r="AU306" s="1263"/>
      <c r="AV306" s="757"/>
      <c r="AW306" s="1263">
        <v>35265.03</v>
      </c>
      <c r="AX306" s="2608">
        <v>46023.621828703705</v>
      </c>
      <c r="AY306" s="2113" t="s">
        <v>62</v>
      </c>
      <c r="AZ306" s="2608">
        <v>46387.643379629626</v>
      </c>
      <c r="BA306" s="2113" t="s">
        <v>62</v>
      </c>
      <c r="BB306" s="1354"/>
      <c r="BC306" s="2259" t="s">
        <v>514</v>
      </c>
      <c r="BD306" s="1648"/>
      <c r="BE306" s="1630"/>
      <c r="BF306" s="1630" t="str">
        <f>IF(T306="","",T306)</f>
        <v/>
      </c>
      <c r="BG306" s="1630"/>
      <c r="BH306" s="1630"/>
      <c r="BI306" s="1641">
        <v>0</v>
      </c>
    </row>
    <row customHeight="1" ht="14.25">
      <c r="A307" s="1369"/>
      <c r="B307" s="1369"/>
      <c r="C307" s="1369"/>
      <c r="D307" s="1369"/>
      <c r="E307" s="2265"/>
      <c r="F307" s="2265"/>
      <c r="G307" s="2265"/>
      <c r="H307" s="2265"/>
      <c r="I307" s="2292"/>
      <c r="J307" s="2292"/>
      <c r="K307" s="2262"/>
      <c r="L307" s="1375"/>
      <c r="M307" s="1782"/>
      <c r="N307" s="1782"/>
      <c r="O307" s="1782"/>
      <c r="P307" s="2380"/>
      <c r="Q307" s="2380"/>
      <c r="R307" s="2353"/>
      <c r="S307" s="2348"/>
      <c r="T307" s="2367"/>
      <c r="U307" s="306"/>
      <c r="V307" s="5461"/>
      <c r="W307" s="5462"/>
      <c r="X307" s="5463"/>
      <c r="Y307" s="5464"/>
      <c r="Z307" s="5465"/>
      <c r="AA307" s="5466"/>
      <c r="AB307" s="5467"/>
      <c r="AC307" s="5468"/>
      <c r="AD307" s="2192"/>
      <c r="AE307" s="2332"/>
      <c r="AF307" s="2443"/>
      <c r="AG307" s="2369"/>
      <c r="AH307" s="2113"/>
      <c r="AI307" s="2332"/>
      <c r="AJ307" s="2443" t="s">
        <v>91</v>
      </c>
      <c r="AK307" s="2333"/>
      <c r="AL307" s="2113"/>
      <c r="AM307" s="2301"/>
      <c r="AN307" s="2443"/>
      <c r="AO307" s="2683" t="s">
        <v>28</v>
      </c>
      <c r="AP307" s="2365"/>
      <c r="AQ307" s="5469"/>
      <c r="AR307" s="5470"/>
      <c r="AS307" s="5471" t="s">
        <v>515</v>
      </c>
      <c r="AT307" s="5472"/>
      <c r="AU307" s="5473"/>
      <c r="AV307" s="5474"/>
      <c r="AW307" s="5475"/>
      <c r="AX307" s="5476"/>
      <c r="AY307" s="5477"/>
      <c r="AZ307" s="5478"/>
      <c r="BA307" s="5479"/>
      <c r="BB307" s="5480"/>
      <c r="BC307" s="2260"/>
      <c r="BD307" s="1648"/>
      <c r="BE307" s="1630"/>
      <c r="BF307" s="1630"/>
      <c r="BG307" s="1630"/>
      <c r="BH307" s="1630"/>
      <c r="BI307" s="1641">
        <v>0</v>
      </c>
    </row>
    <row customHeight="1" ht="14.25">
      <c r="A308" s="1369"/>
      <c r="B308" s="1369"/>
      <c r="C308" s="1369"/>
      <c r="D308" s="1369"/>
      <c r="E308" s="2265"/>
      <c r="F308" s="2265"/>
      <c r="G308" s="2265"/>
      <c r="H308" s="2265"/>
      <c r="I308" s="2292"/>
      <c r="J308" s="2292"/>
      <c r="K308" s="2262"/>
      <c r="L308" s="1375"/>
      <c r="M308" s="1782"/>
      <c r="N308" s="1782"/>
      <c r="O308" s="1782"/>
      <c r="P308" s="2380"/>
      <c r="Q308" s="2380"/>
      <c r="R308" s="2353"/>
      <c r="S308" s="2348"/>
      <c r="T308" s="2367"/>
      <c r="U308" s="306"/>
      <c r="V308" s="5481"/>
      <c r="W308" s="5482"/>
      <c r="X308" s="5483"/>
      <c r="Y308" s="5484"/>
      <c r="Z308" s="5485"/>
      <c r="AA308" s="5486"/>
      <c r="AB308" s="5487"/>
      <c r="AC308" s="5488"/>
      <c r="AD308" s="2192"/>
      <c r="AE308" s="2332"/>
      <c r="AF308" s="2443"/>
      <c r="AG308" s="2369"/>
      <c r="AH308" s="2113"/>
      <c r="AI308" s="2332"/>
      <c r="AJ308" s="2443" t="s">
        <v>91</v>
      </c>
      <c r="AK308" s="2333"/>
      <c r="AL308" s="2113"/>
      <c r="AM308" s="5489"/>
      <c r="AN308" s="5490"/>
      <c r="AO308" s="5491" t="s">
        <v>516</v>
      </c>
      <c r="AP308" s="5492"/>
      <c r="AQ308" s="5493"/>
      <c r="AR308" s="5494"/>
      <c r="AS308" s="5495"/>
      <c r="AT308" s="5496"/>
      <c r="AU308" s="5497"/>
      <c r="AV308" s="5498"/>
      <c r="AW308" s="5499"/>
      <c r="AX308" s="5500"/>
      <c r="AY308" s="5501"/>
      <c r="AZ308" s="5502"/>
      <c r="BA308" s="5503"/>
      <c r="BB308" s="5504"/>
      <c r="BC308" s="2260"/>
      <c r="BD308" s="1648"/>
      <c r="BE308" s="1630"/>
      <c r="BF308" s="1630"/>
      <c r="BG308" s="1630"/>
      <c r="BH308" s="1630"/>
      <c r="BI308" s="1641">
        <v>0</v>
      </c>
    </row>
    <row customHeight="1" ht="14.25">
      <c r="A309" s="1369"/>
      <c r="B309" s="1369"/>
      <c r="C309" s="1369"/>
      <c r="D309" s="1369"/>
      <c r="E309" s="2265"/>
      <c r="F309" s="2265"/>
      <c r="G309" s="2265"/>
      <c r="H309" s="2265"/>
      <c r="I309" s="2292"/>
      <c r="J309" s="2292"/>
      <c r="K309" s="2262" t="str">
        <f>S305&amp;".1"</f>
        <v>.1.1</v>
      </c>
      <c r="L309" s="1375"/>
      <c r="M309" s="1782"/>
      <c r="N309" s="1782"/>
      <c r="O309" s="1782"/>
      <c r="P309" s="2380"/>
      <c r="Q309" s="2380"/>
      <c r="R309" s="2353">
        <v>1</v>
      </c>
      <c r="S309" s="2347" t="str">
        <f>$K309</f>
        <v>.1.1</v>
      </c>
      <c r="T309" s="2366"/>
      <c r="U309" s="306"/>
      <c r="V309" s="757"/>
      <c r="W309" s="1263"/>
      <c r="X309" s="757"/>
      <c r="Y309" s="1263"/>
      <c r="Z309" s="2608"/>
      <c r="AA309" s="2113" t="s">
        <v>62</v>
      </c>
      <c r="AB309" s="2608"/>
      <c r="AC309" s="2113" t="s">
        <v>62</v>
      </c>
      <c r="AD309" s="2191" t="s">
        <v>62</v>
      </c>
      <c r="AE309" s="2332"/>
      <c r="AF309" s="2443">
        <v>1</v>
      </c>
      <c r="AG309" s="2369"/>
      <c r="AH309" s="2113" t="s">
        <v>62</v>
      </c>
      <c r="AI309" s="689" t="s">
        <v>253</v>
      </c>
      <c r="AJ309" s="2443" t="s">
        <v>113</v>
      </c>
      <c r="AK309" s="2333" t="s">
        <v>536</v>
      </c>
      <c r="AL309" s="2113" t="s">
        <v>19</v>
      </c>
      <c r="AM309" s="2300"/>
      <c r="AN309" s="2443">
        <v>1</v>
      </c>
      <c r="AO309" s="2683" t="s">
        <v>28</v>
      </c>
      <c r="AP309" s="2364" t="s">
        <v>62</v>
      </c>
      <c r="AQ309" s="317"/>
      <c r="AR309" s="2443">
        <v>1</v>
      </c>
      <c r="AS309" s="2582" t="s">
        <v>541</v>
      </c>
      <c r="AT309" s="757"/>
      <c r="AU309" s="1263"/>
      <c r="AV309" s="757"/>
      <c r="AW309" s="1263">
        <v>39845.27</v>
      </c>
      <c r="AX309" s="2608">
        <v>46023.62186342593</v>
      </c>
      <c r="AY309" s="2113" t="s">
        <v>62</v>
      </c>
      <c r="AZ309" s="2608">
        <v>46387.64344907407</v>
      </c>
      <c r="BA309" s="2113" t="s">
        <v>62</v>
      </c>
      <c r="BB309" s="1354"/>
      <c r="BC309" s="2259" t="s">
        <v>514</v>
      </c>
      <c r="BD309" s="1648"/>
      <c r="BE309" s="1630"/>
      <c r="BF309" s="1630" t="str">
        <f>IF(T309="","",T309)</f>
        <v/>
      </c>
      <c r="BG309" s="1630"/>
      <c r="BH309" s="1630"/>
      <c r="BI309" s="1641">
        <v>0</v>
      </c>
    </row>
    <row customHeight="1" ht="14.25">
      <c r="A310" s="1369"/>
      <c r="B310" s="1369"/>
      <c r="C310" s="1369"/>
      <c r="D310" s="1369"/>
      <c r="E310" s="2265"/>
      <c r="F310" s="2265"/>
      <c r="G310" s="2265"/>
      <c r="H310" s="2265"/>
      <c r="I310" s="2292"/>
      <c r="J310" s="2292"/>
      <c r="K310" s="2262"/>
      <c r="L310" s="1375"/>
      <c r="M310" s="1782"/>
      <c r="N310" s="1782"/>
      <c r="O310" s="1782"/>
      <c r="P310" s="2380"/>
      <c r="Q310" s="2380"/>
      <c r="R310" s="2353"/>
      <c r="S310" s="2348"/>
      <c r="T310" s="2367"/>
      <c r="U310" s="306"/>
      <c r="V310" s="5505"/>
      <c r="W310" s="5506"/>
      <c r="X310" s="5507"/>
      <c r="Y310" s="5508"/>
      <c r="Z310" s="5509"/>
      <c r="AA310" s="5510"/>
      <c r="AB310" s="5511"/>
      <c r="AC310" s="5512"/>
      <c r="AD310" s="2192"/>
      <c r="AE310" s="2332"/>
      <c r="AF310" s="2443"/>
      <c r="AG310" s="2369"/>
      <c r="AH310" s="2113"/>
      <c r="AI310" s="2332"/>
      <c r="AJ310" s="2443" t="s">
        <v>92</v>
      </c>
      <c r="AK310" s="2333"/>
      <c r="AL310" s="2113"/>
      <c r="AM310" s="2301"/>
      <c r="AN310" s="2443"/>
      <c r="AO310" s="2683" t="s">
        <v>28</v>
      </c>
      <c r="AP310" s="2365"/>
      <c r="AQ310" s="5513"/>
      <c r="AR310" s="5514"/>
      <c r="AS310" s="5515" t="s">
        <v>515</v>
      </c>
      <c r="AT310" s="5516"/>
      <c r="AU310" s="5517"/>
      <c r="AV310" s="5518"/>
      <c r="AW310" s="5519"/>
      <c r="AX310" s="5520"/>
      <c r="AY310" s="5521"/>
      <c r="AZ310" s="5522"/>
      <c r="BA310" s="5523"/>
      <c r="BB310" s="5524"/>
      <c r="BC310" s="2260"/>
      <c r="BD310" s="1648"/>
      <c r="BE310" s="1630"/>
      <c r="BF310" s="1630"/>
      <c r="BG310" s="1630"/>
      <c r="BH310" s="1630"/>
      <c r="BI310" s="1641">
        <v>0</v>
      </c>
    </row>
    <row customHeight="1" ht="14.25">
      <c r="A311" s="1369"/>
      <c r="B311" s="1369"/>
      <c r="C311" s="1369"/>
      <c r="D311" s="1369"/>
      <c r="E311" s="2265"/>
      <c r="F311" s="2265"/>
      <c r="G311" s="2265"/>
      <c r="H311" s="2265"/>
      <c r="I311" s="2292"/>
      <c r="J311" s="2292"/>
      <c r="K311" s="2262"/>
      <c r="L311" s="1375"/>
      <c r="M311" s="1782"/>
      <c r="N311" s="1782"/>
      <c r="O311" s="1782"/>
      <c r="P311" s="2380"/>
      <c r="Q311" s="2380"/>
      <c r="R311" s="2353"/>
      <c r="S311" s="2348"/>
      <c r="T311" s="2367"/>
      <c r="U311" s="306"/>
      <c r="V311" s="5525"/>
      <c r="W311" s="5526"/>
      <c r="X311" s="5527"/>
      <c r="Y311" s="5528"/>
      <c r="Z311" s="5529"/>
      <c r="AA311" s="5530"/>
      <c r="AB311" s="5531"/>
      <c r="AC311" s="5532"/>
      <c r="AD311" s="2192"/>
      <c r="AE311" s="2332"/>
      <c r="AF311" s="2443"/>
      <c r="AG311" s="2369"/>
      <c r="AH311" s="2113"/>
      <c r="AI311" s="2332"/>
      <c r="AJ311" s="2443" t="s">
        <v>92</v>
      </c>
      <c r="AK311" s="2333"/>
      <c r="AL311" s="2113"/>
      <c r="AM311" s="5533"/>
      <c r="AN311" s="5534"/>
      <c r="AO311" s="5535" t="s">
        <v>516</v>
      </c>
      <c r="AP311" s="5536"/>
      <c r="AQ311" s="5537"/>
      <c r="AR311" s="5538"/>
      <c r="AS311" s="5539"/>
      <c r="AT311" s="5540"/>
      <c r="AU311" s="5541"/>
      <c r="AV311" s="5542"/>
      <c r="AW311" s="5543"/>
      <c r="AX311" s="5544"/>
      <c r="AY311" s="5545"/>
      <c r="AZ311" s="5546"/>
      <c r="BA311" s="5547"/>
      <c r="BB311" s="5548"/>
      <c r="BC311" s="2260"/>
      <c r="BD311" s="1648"/>
      <c r="BE311" s="1630"/>
      <c r="BF311" s="1630"/>
      <c r="BG311" s="1630"/>
      <c r="BH311" s="1630"/>
      <c r="BI311" s="1641">
        <v>0</v>
      </c>
    </row>
    <row customHeight="1" ht="14.25">
      <c r="A312" s="1369"/>
      <c r="B312" s="1369"/>
      <c r="C312" s="1369"/>
      <c r="D312" s="1369"/>
      <c r="E312" s="2265"/>
      <c r="F312" s="2265"/>
      <c r="G312" s="2265"/>
      <c r="H312" s="2265"/>
      <c r="I312" s="2292"/>
      <c r="J312" s="2292"/>
      <c r="K312" s="2262" t="str">
        <f>S308&amp;".1"</f>
        <v>.1</v>
      </c>
      <c r="L312" s="1375"/>
      <c r="M312" s="1782"/>
      <c r="N312" s="1782"/>
      <c r="O312" s="1782"/>
      <c r="P312" s="2380"/>
      <c r="Q312" s="2380"/>
      <c r="R312" s="2353">
        <v>1</v>
      </c>
      <c r="S312" s="2347" t="str">
        <f>$K312</f>
        <v>.1</v>
      </c>
      <c r="T312" s="2366"/>
      <c r="U312" s="306"/>
      <c r="V312" s="757"/>
      <c r="W312" s="1263"/>
      <c r="X312" s="757"/>
      <c r="Y312" s="1263"/>
      <c r="Z312" s="2608"/>
      <c r="AA312" s="2113" t="s">
        <v>62</v>
      </c>
      <c r="AB312" s="2608"/>
      <c r="AC312" s="2113" t="s">
        <v>62</v>
      </c>
      <c r="AD312" s="2191" t="s">
        <v>62</v>
      </c>
      <c r="AE312" s="2332"/>
      <c r="AF312" s="2443">
        <v>1</v>
      </c>
      <c r="AG312" s="2369"/>
      <c r="AH312" s="2113" t="s">
        <v>62</v>
      </c>
      <c r="AI312" s="689" t="s">
        <v>253</v>
      </c>
      <c r="AJ312" s="2443" t="s">
        <v>93</v>
      </c>
      <c r="AK312" s="2333" t="s">
        <v>537</v>
      </c>
      <c r="AL312" s="2113" t="s">
        <v>19</v>
      </c>
      <c r="AM312" s="2300"/>
      <c r="AN312" s="2443">
        <v>1</v>
      </c>
      <c r="AO312" s="2683" t="s">
        <v>28</v>
      </c>
      <c r="AP312" s="2364" t="s">
        <v>62</v>
      </c>
      <c r="AQ312" s="317"/>
      <c r="AR312" s="2443">
        <v>1</v>
      </c>
      <c r="AS312" s="2582" t="s">
        <v>541</v>
      </c>
      <c r="AT312" s="757"/>
      <c r="AU312" s="1263"/>
      <c r="AV312" s="757"/>
      <c r="AW312" s="1263">
        <v>52419.45</v>
      </c>
      <c r="AX312" s="2608">
        <v>46023.621932870374</v>
      </c>
      <c r="AY312" s="2113" t="s">
        <v>62</v>
      </c>
      <c r="AZ312" s="2608">
        <v>46387.64363425926</v>
      </c>
      <c r="BA312" s="2113" t="s">
        <v>62</v>
      </c>
      <c r="BB312" s="1354"/>
      <c r="BC312" s="2259" t="s">
        <v>514</v>
      </c>
      <c r="BD312" s="1648"/>
      <c r="BE312" s="1630"/>
      <c r="BF312" s="1630" t="str">
        <f>IF(T312="","",T312)</f>
        <v/>
      </c>
      <c r="BG312" s="1630"/>
      <c r="BH312" s="1630"/>
      <c r="BI312" s="1641">
        <v>0</v>
      </c>
    </row>
    <row customHeight="1" ht="14.25">
      <c r="A313" s="1369"/>
      <c r="B313" s="1369"/>
      <c r="C313" s="1369"/>
      <c r="D313" s="1369"/>
      <c r="E313" s="2265"/>
      <c r="F313" s="2265"/>
      <c r="G313" s="2265"/>
      <c r="H313" s="2265"/>
      <c r="I313" s="2292"/>
      <c r="J313" s="2292"/>
      <c r="K313" s="2262"/>
      <c r="L313" s="1375"/>
      <c r="M313" s="1782"/>
      <c r="N313" s="1782"/>
      <c r="O313" s="1782"/>
      <c r="P313" s="2380"/>
      <c r="Q313" s="2380"/>
      <c r="R313" s="2353"/>
      <c r="S313" s="2348"/>
      <c r="T313" s="2367"/>
      <c r="U313" s="306"/>
      <c r="V313" s="5549"/>
      <c r="W313" s="5550"/>
      <c r="X313" s="5551"/>
      <c r="Y313" s="5552"/>
      <c r="Z313" s="5553"/>
      <c r="AA313" s="5554"/>
      <c r="AB313" s="5555"/>
      <c r="AC313" s="5556"/>
      <c r="AD313" s="2192"/>
      <c r="AE313" s="2332"/>
      <c r="AF313" s="2443"/>
      <c r="AG313" s="2369"/>
      <c r="AH313" s="2113"/>
      <c r="AI313" s="2332"/>
      <c r="AJ313" s="2443" t="s">
        <v>113</v>
      </c>
      <c r="AK313" s="2333"/>
      <c r="AL313" s="2113"/>
      <c r="AM313" s="2301"/>
      <c r="AN313" s="2443"/>
      <c r="AO313" s="2683" t="s">
        <v>28</v>
      </c>
      <c r="AP313" s="2365"/>
      <c r="AQ313" s="5557"/>
      <c r="AR313" s="5558"/>
      <c r="AS313" s="5559" t="s">
        <v>515</v>
      </c>
      <c r="AT313" s="5560"/>
      <c r="AU313" s="5561"/>
      <c r="AV313" s="5562"/>
      <c r="AW313" s="5563"/>
      <c r="AX313" s="5564"/>
      <c r="AY313" s="5565"/>
      <c r="AZ313" s="5566"/>
      <c r="BA313" s="5567"/>
      <c r="BB313" s="5568"/>
      <c r="BC313" s="2260"/>
      <c r="BD313" s="1648"/>
      <c r="BE313" s="1630"/>
      <c r="BF313" s="1630"/>
      <c r="BG313" s="1630"/>
      <c r="BH313" s="1630"/>
      <c r="BI313" s="1641">
        <v>0</v>
      </c>
    </row>
    <row customHeight="1" ht="14.25">
      <c r="A314" s="1369"/>
      <c r="B314" s="1369"/>
      <c r="C314" s="1369"/>
      <c r="D314" s="1369"/>
      <c r="E314" s="2265"/>
      <c r="F314" s="2265"/>
      <c r="G314" s="2265"/>
      <c r="H314" s="2265"/>
      <c r="I314" s="2292"/>
      <c r="J314" s="2292"/>
      <c r="K314" s="2262"/>
      <c r="L314" s="1375"/>
      <c r="M314" s="1782"/>
      <c r="N314" s="1782"/>
      <c r="O314" s="1782"/>
      <c r="P314" s="2380"/>
      <c r="Q314" s="2380"/>
      <c r="R314" s="2353"/>
      <c r="S314" s="2348"/>
      <c r="T314" s="2367"/>
      <c r="U314" s="306"/>
      <c r="V314" s="5569"/>
      <c r="W314" s="5570"/>
      <c r="X314" s="5571"/>
      <c r="Y314" s="5572"/>
      <c r="Z314" s="5573"/>
      <c r="AA314" s="5574"/>
      <c r="AB314" s="5575"/>
      <c r="AC314" s="5576"/>
      <c r="AD314" s="2192"/>
      <c r="AE314" s="2332"/>
      <c r="AF314" s="2443"/>
      <c r="AG314" s="2369"/>
      <c r="AH314" s="2113"/>
      <c r="AI314" s="2332"/>
      <c r="AJ314" s="2443" t="s">
        <v>113</v>
      </c>
      <c r="AK314" s="2333"/>
      <c r="AL314" s="2113"/>
      <c r="AM314" s="5577"/>
      <c r="AN314" s="5578"/>
      <c r="AO314" s="5579" t="s">
        <v>516</v>
      </c>
      <c r="AP314" s="5580"/>
      <c r="AQ314" s="5581"/>
      <c r="AR314" s="5582"/>
      <c r="AS314" s="5583"/>
      <c r="AT314" s="5584"/>
      <c r="AU314" s="5585"/>
      <c r="AV314" s="5586"/>
      <c r="AW314" s="5587"/>
      <c r="AX314" s="5588"/>
      <c r="AY314" s="5589"/>
      <c r="AZ314" s="5590"/>
      <c r="BA314" s="5591"/>
      <c r="BB314" s="5592"/>
      <c r="BC314" s="2260"/>
      <c r="BD314" s="1648"/>
      <c r="BE314" s="1630"/>
      <c r="BF314" s="1630"/>
      <c r="BG314" s="1630"/>
      <c r="BH314" s="1630"/>
      <c r="BI314" s="1641">
        <v>0</v>
      </c>
    </row>
    <row customHeight="1" ht="14.25">
      <c r="A315" s="1369"/>
      <c r="B315" s="1369"/>
      <c r="C315" s="1369"/>
      <c r="D315" s="1369"/>
      <c r="E315" s="2265"/>
      <c r="F315" s="2265"/>
      <c r="G315" s="2265"/>
      <c r="H315" s="2265"/>
      <c r="I315" s="2292"/>
      <c r="J315" s="2292"/>
      <c r="K315" s="2262" t="str">
        <f>S65&amp;".8"</f>
        <v>2.1.1.8</v>
      </c>
      <c r="L315" s="1375"/>
      <c r="M315" s="1782"/>
      <c r="N315" s="1782"/>
      <c r="O315" s="1782"/>
      <c r="P315" s="2380"/>
      <c r="Q315" s="2380"/>
      <c r="R315" s="2353"/>
      <c r="S315" s="2348"/>
      <c r="T315" s="2367"/>
      <c r="U315" s="306"/>
      <c r="V315" s="5593"/>
      <c r="W315" s="5594"/>
      <c r="X315" s="5595"/>
      <c r="Y315" s="5596"/>
      <c r="Z315" s="5597"/>
      <c r="AA315" s="5598"/>
      <c r="AB315" s="5599"/>
      <c r="AC315" s="5600"/>
      <c r="AD315" s="2192"/>
      <c r="AE315" s="2332"/>
      <c r="AF315" s="2443"/>
      <c r="AG315" s="2682" t="s">
        <v>28</v>
      </c>
      <c r="AH315" s="2113"/>
      <c r="AI315" s="5601"/>
      <c r="AJ315" s="5602"/>
      <c r="AK315" s="5603" t="s">
        <v>517</v>
      </c>
      <c r="AL315" s="5604"/>
      <c r="AM315" s="5605"/>
      <c r="AN315" s="5606"/>
      <c r="AO315" s="5607"/>
      <c r="AP315" s="5608"/>
      <c r="AQ315" s="5609"/>
      <c r="AR315" s="5610"/>
      <c r="AS315" s="5611"/>
      <c r="AT315" s="5612"/>
      <c r="AU315" s="5613"/>
      <c r="AV315" s="5614"/>
      <c r="AW315" s="5615"/>
      <c r="AX315" s="5616"/>
      <c r="AY315" s="5617"/>
      <c r="AZ315" s="5618"/>
      <c r="BA315" s="5619"/>
      <c r="BB315" s="5620"/>
      <c r="BC315" s="2260"/>
      <c r="BD315" s="1648"/>
      <c r="BE315" s="1630"/>
      <c r="BF315" s="1630"/>
      <c r="BG315" s="1630"/>
      <c r="BH315" s="1630"/>
      <c r="BI315" s="1641">
        <v>0</v>
      </c>
    </row>
    <row customHeight="1" ht="14.25">
      <c r="A316" s="1369"/>
      <c r="B316" s="1369"/>
      <c r="C316" s="1369"/>
      <c r="D316" s="1369"/>
      <c r="E316" s="2265"/>
      <c r="F316" s="2265"/>
      <c r="G316" s="2265"/>
      <c r="H316" s="2265"/>
      <c r="I316" s="2292"/>
      <c r="J316" s="2292"/>
      <c r="K316" s="2262" t="str">
        <f>S65&amp;".8"</f>
        <v>2.1.1.8</v>
      </c>
      <c r="L316" s="1375"/>
      <c r="M316" s="1782"/>
      <c r="N316" s="1782"/>
      <c r="O316" s="1782"/>
      <c r="P316" s="2380"/>
      <c r="Q316" s="2380"/>
      <c r="R316" s="2353"/>
      <c r="S316" s="2349"/>
      <c r="T316" s="2368"/>
      <c r="U316" s="306"/>
      <c r="V316" s="5621"/>
      <c r="W316" s="5622" t="str">
        <f>Z293&amp;"-"&amp;AB293</f>
        <v>-</v>
      </c>
      <c r="X316" s="5623"/>
      <c r="Y316" s="5624" t="str">
        <f>AB293&amp;"-"&amp;AD293</f>
        <v>-нет</v>
      </c>
      <c r="Z316" s="5625"/>
      <c r="AA316" s="5626"/>
      <c r="AB316" s="5627"/>
      <c r="AC316" s="5628"/>
      <c r="AD316" s="2118"/>
      <c r="AE316" s="5629"/>
      <c r="AF316" s="5630"/>
      <c r="AG316" s="5631" t="s">
        <v>518</v>
      </c>
      <c r="AH316" s="5632"/>
      <c r="AI316" s="5633"/>
      <c r="AJ316" s="5634"/>
      <c r="AK316" s="5635"/>
      <c r="AL316" s="5636"/>
      <c r="AM316" s="5637"/>
      <c r="AN316" s="5638"/>
      <c r="AO316" s="5639"/>
      <c r="AP316" s="5640"/>
      <c r="AQ316" s="5641"/>
      <c r="AR316" s="5642"/>
      <c r="AS316" s="5643"/>
      <c r="AT316" s="5644"/>
      <c r="AU316" s="5645" t="str">
        <f>AX293&amp;"-"&amp;AZ293</f>
        <v>46023.62158564815-46387.64277777778</v>
      </c>
      <c r="AV316" s="5646"/>
      <c r="AW316" s="5647" t="str">
        <f>AZ293&amp;"-"&amp;BB293</f>
        <v>46387.64277777778-</v>
      </c>
      <c r="AX316" s="5648"/>
      <c r="AY316" s="5649"/>
      <c r="AZ316" s="5650"/>
      <c r="BA316" s="5651"/>
      <c r="BB316" s="5652" t="str">
        <f>BE293&amp;"-"&amp;BG293</f>
        <v>-</v>
      </c>
      <c r="BC316" s="2260"/>
      <c r="BD316" s="1648"/>
      <c r="BE316" s="1630"/>
      <c r="BF316" s="1630" t="str">
        <f>IF(T316="","",T316)</f>
        <v/>
      </c>
      <c r="BG316" s="1630"/>
      <c r="BH316" s="1630"/>
      <c r="BI316" s="1641">
        <v>0</v>
      </c>
    </row>
    <row customHeight="1" ht="14.25">
      <c r="A317" s="1369"/>
      <c r="B317" s="1369"/>
      <c r="C317" s="1369"/>
      <c r="D317" s="1369"/>
      <c r="E317" s="2265"/>
      <c r="F317" s="2265"/>
      <c r="G317" s="2265"/>
      <c r="H317" s="2265"/>
      <c r="I317" s="2292"/>
      <c r="J317" s="2292"/>
      <c r="K317" s="2262" t="str">
        <f>S65&amp;".10"</f>
        <v>2.1.1.10</v>
      </c>
      <c r="L317" s="1375"/>
      <c r="M317" s="1782"/>
      <c r="N317" s="1782"/>
      <c r="O317" s="1782"/>
      <c r="P317" s="2380"/>
      <c r="Q317" s="2380"/>
      <c r="R317" s="689" t="s">
        <v>253</v>
      </c>
      <c r="S317" s="2347" t="str">
        <f>$K317</f>
        <v>2.1.1.10</v>
      </c>
      <c r="T317" s="2366" t="s">
        <v>547</v>
      </c>
      <c r="U317" s="306"/>
      <c r="V317" s="757"/>
      <c r="W317" s="1263"/>
      <c r="X317" s="757"/>
      <c r="Y317" s="1263"/>
      <c r="Z317" s="2608"/>
      <c r="AA317" s="2113" t="s">
        <v>62</v>
      </c>
      <c r="AB317" s="2608"/>
      <c r="AC317" s="2113" t="s">
        <v>62</v>
      </c>
      <c r="AD317" s="2191" t="s">
        <v>19</v>
      </c>
      <c r="AE317" s="2332"/>
      <c r="AF317" s="2443">
        <v>1</v>
      </c>
      <c r="AG317" s="2682" t="s">
        <v>28</v>
      </c>
      <c r="AH317" s="2113" t="s">
        <v>62</v>
      </c>
      <c r="AI317" s="2332"/>
      <c r="AJ317" s="2443">
        <v>1</v>
      </c>
      <c r="AK317" s="2333" t="s">
        <v>532</v>
      </c>
      <c r="AL317" s="2113" t="s">
        <v>19</v>
      </c>
      <c r="AM317" s="2300"/>
      <c r="AN317" s="2443">
        <v>1</v>
      </c>
      <c r="AO317" s="2683" t="s">
        <v>28</v>
      </c>
      <c r="AP317" s="2364" t="s">
        <v>62</v>
      </c>
      <c r="AQ317" s="317"/>
      <c r="AR317" s="2443">
        <v>1</v>
      </c>
      <c r="AS317" s="2582" t="s">
        <v>541</v>
      </c>
      <c r="AT317" s="757"/>
      <c r="AU317" s="1263"/>
      <c r="AV317" s="757"/>
      <c r="AW317" s="1263">
        <v>12064.13</v>
      </c>
      <c r="AX317" s="2608">
        <v>46023.62196759259</v>
      </c>
      <c r="AY317" s="2113" t="s">
        <v>62</v>
      </c>
      <c r="AZ317" s="2608">
        <v>46387.64378472222</v>
      </c>
      <c r="BA317" s="2113" t="s">
        <v>62</v>
      </c>
      <c r="BB317" s="1354"/>
      <c r="BC317" s="2259" t="s">
        <v>514</v>
      </c>
      <c r="BD317" s="1648"/>
      <c r="BE317" s="1630"/>
      <c r="BF317" s="1630" t="str">
        <f>IF(T317="","",T317)</f>
        <v>Прокладка трубопроводов водоснабжения в непроходных каналах в изоляции из пенополиуретана (ППУ),с погрузкой и вывозом грунта автотранспортом, диаметр труб:</v>
      </c>
      <c r="BG317" s="1630"/>
      <c r="BH317" s="1630"/>
      <c r="BI317" s="1641">
        <v>0</v>
      </c>
    </row>
    <row customHeight="1" ht="14.25">
      <c r="A318" s="1369"/>
      <c r="B318" s="1369"/>
      <c r="C318" s="1369"/>
      <c r="D318" s="1369"/>
      <c r="E318" s="2265"/>
      <c r="F318" s="2265"/>
      <c r="G318" s="2265"/>
      <c r="H318" s="2265"/>
      <c r="I318" s="2292"/>
      <c r="J318" s="2292"/>
      <c r="K318" s="2262" t="str">
        <f>S314&amp;".1"</f>
        <v>.1</v>
      </c>
      <c r="L318" s="1375"/>
      <c r="M318" s="1782"/>
      <c r="N318" s="1782"/>
      <c r="O318" s="1782"/>
      <c r="P318" s="2380"/>
      <c r="Q318" s="2380"/>
      <c r="R318" s="2353">
        <v>1</v>
      </c>
      <c r="S318" s="2347" t="str">
        <f>$K318</f>
        <v>.1</v>
      </c>
      <c r="T318" s="2366"/>
      <c r="U318" s="306"/>
      <c r="V318" s="757"/>
      <c r="W318" s="1263"/>
      <c r="X318" s="757"/>
      <c r="Y318" s="1263"/>
      <c r="Z318" s="2608"/>
      <c r="AA318" s="2113" t="s">
        <v>62</v>
      </c>
      <c r="AB318" s="2608"/>
      <c r="AC318" s="2113" t="s">
        <v>62</v>
      </c>
      <c r="AD318" s="2191" t="s">
        <v>62</v>
      </c>
      <c r="AE318" s="2332"/>
      <c r="AF318" s="2443">
        <v>1</v>
      </c>
      <c r="AG318" s="2369"/>
      <c r="AH318" s="2113" t="s">
        <v>62</v>
      </c>
      <c r="AI318" s="2332"/>
      <c r="AJ318" s="2443">
        <v>1</v>
      </c>
      <c r="AK318" s="2333" t="s">
        <v>28</v>
      </c>
      <c r="AL318" s="2113" t="s">
        <v>62</v>
      </c>
      <c r="AM318" s="2300"/>
      <c r="AN318" s="2443">
        <v>1</v>
      </c>
      <c r="AO318" s="2683" t="s">
        <v>28</v>
      </c>
      <c r="AP318" s="2364" t="s">
        <v>62</v>
      </c>
      <c r="AQ318" s="689" t="s">
        <v>253</v>
      </c>
      <c r="AR318" s="2443" t="s">
        <v>112</v>
      </c>
      <c r="AS318" s="2582" t="s">
        <v>541</v>
      </c>
      <c r="AT318" s="757"/>
      <c r="AU318" s="1263"/>
      <c r="AV318" s="757"/>
      <c r="AW318" s="1263">
        <v>16087.24</v>
      </c>
      <c r="AX318" s="2608">
        <v>46023.64375</v>
      </c>
      <c r="AY318" s="2113" t="s">
        <v>62</v>
      </c>
      <c r="AZ318" s="2608">
        <v>46387.64388888889</v>
      </c>
      <c r="BA318" s="2113" t="s">
        <v>62</v>
      </c>
      <c r="BB318" s="1354"/>
      <c r="BC318" s="2259" t="s">
        <v>514</v>
      </c>
      <c r="BD318" s="1648"/>
      <c r="BE318" s="1630"/>
      <c r="BF318" s="1630" t="str">
        <f>IF(T318="","",T318)</f>
        <v/>
      </c>
      <c r="BG318" s="1630"/>
      <c r="BH318" s="1630"/>
      <c r="BI318" s="1641">
        <v>0</v>
      </c>
    </row>
    <row customHeight="1" ht="14.25">
      <c r="A319" s="1369"/>
      <c r="B319" s="1369"/>
      <c r="C319" s="1369"/>
      <c r="D319" s="1369"/>
      <c r="E319" s="2265"/>
      <c r="F319" s="2265"/>
      <c r="G319" s="2265"/>
      <c r="H319" s="2265"/>
      <c r="I319" s="2292"/>
      <c r="J319" s="2292"/>
      <c r="K319" s="2262" t="str">
        <f>S65&amp;".9"</f>
        <v>2.1.1.9</v>
      </c>
      <c r="L319" s="1375"/>
      <c r="M319" s="1782"/>
      <c r="N319" s="1782"/>
      <c r="O319" s="1782"/>
      <c r="P319" s="2380"/>
      <c r="Q319" s="2380"/>
      <c r="R319" s="2353"/>
      <c r="S319" s="2348"/>
      <c r="T319" s="2367"/>
      <c r="U319" s="306"/>
      <c r="V319" s="5653"/>
      <c r="W319" s="5654"/>
      <c r="X319" s="5655"/>
      <c r="Y319" s="5656"/>
      <c r="Z319" s="5657"/>
      <c r="AA319" s="5658"/>
      <c r="AB319" s="5659"/>
      <c r="AC319" s="5660"/>
      <c r="AD319" s="2192"/>
      <c r="AE319" s="2332"/>
      <c r="AF319" s="2443"/>
      <c r="AG319" s="2682" t="s">
        <v>28</v>
      </c>
      <c r="AH319" s="2113"/>
      <c r="AI319" s="2332"/>
      <c r="AJ319" s="2443"/>
      <c r="AK319" s="2333"/>
      <c r="AL319" s="2113"/>
      <c r="AM319" s="2301"/>
      <c r="AN319" s="2443"/>
      <c r="AO319" s="2683" t="s">
        <v>28</v>
      </c>
      <c r="AP319" s="2365"/>
      <c r="AQ319" s="5661"/>
      <c r="AR319" s="5662"/>
      <c r="AS319" s="5663" t="s">
        <v>515</v>
      </c>
      <c r="AT319" s="5664"/>
      <c r="AU319" s="5665"/>
      <c r="AV319" s="5666"/>
      <c r="AW319" s="5667"/>
      <c r="AX319" s="5668"/>
      <c r="AY319" s="5669"/>
      <c r="AZ319" s="5670"/>
      <c r="BA319" s="5671"/>
      <c r="BB319" s="5672"/>
      <c r="BC319" s="2260"/>
      <c r="BD319" s="1648"/>
      <c r="BE319" s="1630"/>
      <c r="BF319" s="1630"/>
      <c r="BG319" s="1630"/>
      <c r="BH319" s="1630"/>
      <c r="BI319" s="1641">
        <v>0</v>
      </c>
    </row>
    <row customHeight="1" ht="14.25">
      <c r="A320" s="1369"/>
      <c r="B320" s="1369"/>
      <c r="C320" s="1369"/>
      <c r="D320" s="1369"/>
      <c r="E320" s="2265"/>
      <c r="F320" s="2265"/>
      <c r="G320" s="2265"/>
      <c r="H320" s="2265"/>
      <c r="I320" s="2292"/>
      <c r="J320" s="2292"/>
      <c r="K320" s="2262" t="str">
        <f>S65&amp;".9"</f>
        <v>2.1.1.9</v>
      </c>
      <c r="L320" s="1375"/>
      <c r="M320" s="1782"/>
      <c r="N320" s="1782"/>
      <c r="O320" s="1782"/>
      <c r="P320" s="2380"/>
      <c r="Q320" s="2380"/>
      <c r="R320" s="2353"/>
      <c r="S320" s="2348"/>
      <c r="T320" s="2367"/>
      <c r="U320" s="306"/>
      <c r="V320" s="5673"/>
      <c r="W320" s="5674"/>
      <c r="X320" s="5675"/>
      <c r="Y320" s="5676"/>
      <c r="Z320" s="5677"/>
      <c r="AA320" s="5678"/>
      <c r="AB320" s="5679"/>
      <c r="AC320" s="5680"/>
      <c r="AD320" s="2192"/>
      <c r="AE320" s="2332"/>
      <c r="AF320" s="2443"/>
      <c r="AG320" s="2682" t="s">
        <v>28</v>
      </c>
      <c r="AH320" s="2113"/>
      <c r="AI320" s="2332"/>
      <c r="AJ320" s="2443"/>
      <c r="AK320" s="2333"/>
      <c r="AL320" s="2113"/>
      <c r="AM320" s="5681"/>
      <c r="AN320" s="5682"/>
      <c r="AO320" s="5683" t="s">
        <v>516</v>
      </c>
      <c r="AP320" s="5684"/>
      <c r="AQ320" s="5685"/>
      <c r="AR320" s="5686"/>
      <c r="AS320" s="5687"/>
      <c r="AT320" s="5688"/>
      <c r="AU320" s="5689"/>
      <c r="AV320" s="5690"/>
      <c r="AW320" s="5691"/>
      <c r="AX320" s="5692"/>
      <c r="AY320" s="5693"/>
      <c r="AZ320" s="5694"/>
      <c r="BA320" s="5695"/>
      <c r="BB320" s="5696"/>
      <c r="BC320" s="2260"/>
      <c r="BD320" s="1648"/>
      <c r="BE320" s="1630"/>
      <c r="BF320" s="1630"/>
      <c r="BG320" s="1630"/>
      <c r="BH320" s="1630"/>
      <c r="BI320" s="1641">
        <v>0</v>
      </c>
    </row>
    <row customHeight="1" ht="14.25">
      <c r="A321" s="1369"/>
      <c r="B321" s="1369"/>
      <c r="C321" s="1369"/>
      <c r="D321" s="1369"/>
      <c r="E321" s="2265"/>
      <c r="F321" s="2265"/>
      <c r="G321" s="2265"/>
      <c r="H321" s="2265"/>
      <c r="I321" s="2292"/>
      <c r="J321" s="2292"/>
      <c r="K321" s="2262" t="str">
        <f>S316&amp;".1"</f>
        <v>.1</v>
      </c>
      <c r="L321" s="1375"/>
      <c r="M321" s="1782"/>
      <c r="N321" s="1782"/>
      <c r="O321" s="1782"/>
      <c r="P321" s="2380"/>
      <c r="Q321" s="2380"/>
      <c r="R321" s="2353">
        <v>1</v>
      </c>
      <c r="S321" s="2347" t="str">
        <f>$K321</f>
        <v>.1</v>
      </c>
      <c r="T321" s="2366"/>
      <c r="U321" s="306"/>
      <c r="V321" s="757"/>
      <c r="W321" s="1263"/>
      <c r="X321" s="757"/>
      <c r="Y321" s="1263"/>
      <c r="Z321" s="2608"/>
      <c r="AA321" s="2113" t="s">
        <v>62</v>
      </c>
      <c r="AB321" s="2608"/>
      <c r="AC321" s="2113" t="s">
        <v>62</v>
      </c>
      <c r="AD321" s="2191" t="s">
        <v>62</v>
      </c>
      <c r="AE321" s="2332"/>
      <c r="AF321" s="2443">
        <v>1</v>
      </c>
      <c r="AG321" s="2369"/>
      <c r="AH321" s="2113" t="s">
        <v>62</v>
      </c>
      <c r="AI321" s="689" t="s">
        <v>253</v>
      </c>
      <c r="AJ321" s="2443" t="s">
        <v>112</v>
      </c>
      <c r="AK321" s="2333" t="s">
        <v>533</v>
      </c>
      <c r="AL321" s="2113" t="s">
        <v>19</v>
      </c>
      <c r="AM321" s="2300"/>
      <c r="AN321" s="2443">
        <v>1</v>
      </c>
      <c r="AO321" s="2683" t="s">
        <v>28</v>
      </c>
      <c r="AP321" s="2364" t="s">
        <v>62</v>
      </c>
      <c r="AQ321" s="317"/>
      <c r="AR321" s="2443">
        <v>1</v>
      </c>
      <c r="AS321" s="2582" t="s">
        <v>541</v>
      </c>
      <c r="AT321" s="757"/>
      <c r="AU321" s="1263"/>
      <c r="AV321" s="757"/>
      <c r="AW321" s="1263">
        <v>18110.71</v>
      </c>
      <c r="AX321" s="2608">
        <v>46023.62201388889</v>
      </c>
      <c r="AY321" s="2113" t="s">
        <v>62</v>
      </c>
      <c r="AZ321" s="2608">
        <v>46387.64399305556</v>
      </c>
      <c r="BA321" s="2113" t="s">
        <v>62</v>
      </c>
      <c r="BB321" s="1354"/>
      <c r="BC321" s="2259" t="s">
        <v>514</v>
      </c>
      <c r="BD321" s="1648"/>
      <c r="BE321" s="1630"/>
      <c r="BF321" s="1630" t="str">
        <f>IF(T321="","",T321)</f>
        <v/>
      </c>
      <c r="BG321" s="1630"/>
      <c r="BH321" s="1630"/>
      <c r="BI321" s="1641">
        <v>0</v>
      </c>
    </row>
    <row customHeight="1" ht="14.25">
      <c r="A322" s="1369"/>
      <c r="B322" s="1369"/>
      <c r="C322" s="1369"/>
      <c r="D322" s="1369"/>
      <c r="E322" s="2265"/>
      <c r="F322" s="2265"/>
      <c r="G322" s="2265"/>
      <c r="H322" s="2265"/>
      <c r="I322" s="2292"/>
      <c r="J322" s="2292"/>
      <c r="K322" s="2262" t="str">
        <f>S318&amp;".1"</f>
        <v>.1.1</v>
      </c>
      <c r="L322" s="1375"/>
      <c r="M322" s="1782"/>
      <c r="N322" s="1782"/>
      <c r="O322" s="1782"/>
      <c r="P322" s="2380"/>
      <c r="Q322" s="2380"/>
      <c r="R322" s="2353">
        <v>1</v>
      </c>
      <c r="S322" s="2347" t="str">
        <f>$K322</f>
        <v>.1.1</v>
      </c>
      <c r="T322" s="2366"/>
      <c r="U322" s="306"/>
      <c r="V322" s="757"/>
      <c r="W322" s="1263"/>
      <c r="X322" s="757"/>
      <c r="Y322" s="1263"/>
      <c r="Z322" s="2608"/>
      <c r="AA322" s="2113" t="s">
        <v>62</v>
      </c>
      <c r="AB322" s="2608"/>
      <c r="AC322" s="2113" t="s">
        <v>62</v>
      </c>
      <c r="AD322" s="2191" t="s">
        <v>62</v>
      </c>
      <c r="AE322" s="2332"/>
      <c r="AF322" s="2443">
        <v>1</v>
      </c>
      <c r="AG322" s="2369"/>
      <c r="AH322" s="2113" t="s">
        <v>62</v>
      </c>
      <c r="AI322" s="2332"/>
      <c r="AJ322" s="2443">
        <v>1</v>
      </c>
      <c r="AK322" s="2333" t="s">
        <v>28</v>
      </c>
      <c r="AL322" s="2113" t="s">
        <v>62</v>
      </c>
      <c r="AM322" s="2300"/>
      <c r="AN322" s="2443">
        <v>1</v>
      </c>
      <c r="AO322" s="2683" t="s">
        <v>28</v>
      </c>
      <c r="AP322" s="2364" t="s">
        <v>62</v>
      </c>
      <c r="AQ322" s="689" t="s">
        <v>253</v>
      </c>
      <c r="AR322" s="2443" t="s">
        <v>112</v>
      </c>
      <c r="AS322" s="2582" t="s">
        <v>541</v>
      </c>
      <c r="AT322" s="757"/>
      <c r="AU322" s="1263"/>
      <c r="AV322" s="757"/>
      <c r="AW322" s="1263">
        <v>22447.07</v>
      </c>
      <c r="AX322" s="2608">
        <v>46023.622037037036</v>
      </c>
      <c r="AY322" s="2113" t="s">
        <v>62</v>
      </c>
      <c r="AZ322" s="2608">
        <v>46387.64407407407</v>
      </c>
      <c r="BA322" s="2113" t="s">
        <v>62</v>
      </c>
      <c r="BB322" s="1354"/>
      <c r="BC322" s="2259" t="s">
        <v>514</v>
      </c>
      <c r="BD322" s="1648"/>
      <c r="BE322" s="1630"/>
      <c r="BF322" s="1630" t="str">
        <f>IF(T322="","",T322)</f>
        <v/>
      </c>
      <c r="BG322" s="1630"/>
      <c r="BH322" s="1630"/>
      <c r="BI322" s="1641">
        <v>0</v>
      </c>
    </row>
    <row customHeight="1" ht="14.25">
      <c r="A323" s="1369"/>
      <c r="B323" s="1369"/>
      <c r="C323" s="1369"/>
      <c r="D323" s="1369"/>
      <c r="E323" s="2265"/>
      <c r="F323" s="2265"/>
      <c r="G323" s="2265"/>
      <c r="H323" s="2265"/>
      <c r="I323" s="2292"/>
      <c r="J323" s="2292"/>
      <c r="K323" s="2262"/>
      <c r="L323" s="1375"/>
      <c r="M323" s="1782"/>
      <c r="N323" s="1782"/>
      <c r="O323" s="1782"/>
      <c r="P323" s="2380"/>
      <c r="Q323" s="2380"/>
      <c r="R323" s="2353"/>
      <c r="S323" s="2348"/>
      <c r="T323" s="2367"/>
      <c r="U323" s="306"/>
      <c r="V323" s="5697"/>
      <c r="W323" s="5698"/>
      <c r="X323" s="5699"/>
      <c r="Y323" s="5700"/>
      <c r="Z323" s="5701"/>
      <c r="AA323" s="5702"/>
      <c r="AB323" s="5703"/>
      <c r="AC323" s="5704"/>
      <c r="AD323" s="2192"/>
      <c r="AE323" s="2332"/>
      <c r="AF323" s="2443"/>
      <c r="AG323" s="2369"/>
      <c r="AH323" s="2113"/>
      <c r="AI323" s="2332"/>
      <c r="AJ323" s="2443">
        <v>1</v>
      </c>
      <c r="AK323" s="2333"/>
      <c r="AL323" s="2113"/>
      <c r="AM323" s="2301"/>
      <c r="AN323" s="2443"/>
      <c r="AO323" s="2683" t="s">
        <v>28</v>
      </c>
      <c r="AP323" s="2365"/>
      <c r="AQ323" s="5705"/>
      <c r="AR323" s="5706"/>
      <c r="AS323" s="5707" t="s">
        <v>515</v>
      </c>
      <c r="AT323" s="5708"/>
      <c r="AU323" s="5709"/>
      <c r="AV323" s="5710"/>
      <c r="AW323" s="5711"/>
      <c r="AX323" s="5712"/>
      <c r="AY323" s="5713"/>
      <c r="AZ323" s="5714"/>
      <c r="BA323" s="5715"/>
      <c r="BB323" s="5716"/>
      <c r="BC323" s="2260"/>
      <c r="BD323" s="1648"/>
      <c r="BE323" s="1630"/>
      <c r="BF323" s="1630"/>
      <c r="BG323" s="1630"/>
      <c r="BH323" s="1630"/>
      <c r="BI323" s="1641">
        <v>0</v>
      </c>
    </row>
    <row customHeight="1" ht="14.25">
      <c r="A324" s="1369"/>
      <c r="B324" s="1369"/>
      <c r="C324" s="1369"/>
      <c r="D324" s="1369"/>
      <c r="E324" s="2265"/>
      <c r="F324" s="2265"/>
      <c r="G324" s="2265"/>
      <c r="H324" s="2265"/>
      <c r="I324" s="2292"/>
      <c r="J324" s="2292"/>
      <c r="K324" s="2262"/>
      <c r="L324" s="1375"/>
      <c r="M324" s="1782"/>
      <c r="N324" s="1782"/>
      <c r="O324" s="1782"/>
      <c r="P324" s="2380"/>
      <c r="Q324" s="2380"/>
      <c r="R324" s="2353"/>
      <c r="S324" s="2348"/>
      <c r="T324" s="2367"/>
      <c r="U324" s="306"/>
      <c r="V324" s="5717"/>
      <c r="W324" s="5718"/>
      <c r="X324" s="5719"/>
      <c r="Y324" s="5720"/>
      <c r="Z324" s="5721"/>
      <c r="AA324" s="5722"/>
      <c r="AB324" s="5723"/>
      <c r="AC324" s="5724"/>
      <c r="AD324" s="2192"/>
      <c r="AE324" s="2332"/>
      <c r="AF324" s="2443"/>
      <c r="AG324" s="2369"/>
      <c r="AH324" s="2113"/>
      <c r="AI324" s="2332"/>
      <c r="AJ324" s="2443">
        <v>1</v>
      </c>
      <c r="AK324" s="2333"/>
      <c r="AL324" s="2113"/>
      <c r="AM324" s="5725"/>
      <c r="AN324" s="5726"/>
      <c r="AO324" s="5727" t="s">
        <v>516</v>
      </c>
      <c r="AP324" s="5728"/>
      <c r="AQ324" s="5729"/>
      <c r="AR324" s="5730"/>
      <c r="AS324" s="5731"/>
      <c r="AT324" s="5732"/>
      <c r="AU324" s="5733"/>
      <c r="AV324" s="5734"/>
      <c r="AW324" s="5735"/>
      <c r="AX324" s="5736"/>
      <c r="AY324" s="5737"/>
      <c r="AZ324" s="5738"/>
      <c r="BA324" s="5739"/>
      <c r="BB324" s="5740"/>
      <c r="BC324" s="2260"/>
      <c r="BD324" s="1648"/>
      <c r="BE324" s="1630"/>
      <c r="BF324" s="1630"/>
      <c r="BG324" s="1630"/>
      <c r="BH324" s="1630"/>
      <c r="BI324" s="1641">
        <v>0</v>
      </c>
    </row>
    <row customHeight="1" ht="14.25">
      <c r="A325" s="1369"/>
      <c r="B325" s="1369"/>
      <c r="C325" s="1369"/>
      <c r="D325" s="1369"/>
      <c r="E325" s="2265"/>
      <c r="F325" s="2265"/>
      <c r="G325" s="2265"/>
      <c r="H325" s="2265"/>
      <c r="I325" s="2292"/>
      <c r="J325" s="2292"/>
      <c r="K325" s="2262" t="str">
        <f>S320&amp;".1"</f>
        <v>.1</v>
      </c>
      <c r="L325" s="1375"/>
      <c r="M325" s="1782"/>
      <c r="N325" s="1782"/>
      <c r="O325" s="1782"/>
      <c r="P325" s="2380"/>
      <c r="Q325" s="2380"/>
      <c r="R325" s="2353">
        <v>1</v>
      </c>
      <c r="S325" s="2347" t="str">
        <f>$K325</f>
        <v>.1</v>
      </c>
      <c r="T325" s="2366"/>
      <c r="U325" s="306"/>
      <c r="V325" s="757"/>
      <c r="W325" s="1263"/>
      <c r="X325" s="757"/>
      <c r="Y325" s="1263"/>
      <c r="Z325" s="2608"/>
      <c r="AA325" s="2113" t="s">
        <v>62</v>
      </c>
      <c r="AB325" s="2608"/>
      <c r="AC325" s="2113" t="s">
        <v>62</v>
      </c>
      <c r="AD325" s="2191" t="s">
        <v>62</v>
      </c>
      <c r="AE325" s="2332"/>
      <c r="AF325" s="2443">
        <v>1</v>
      </c>
      <c r="AG325" s="2369"/>
      <c r="AH325" s="2113" t="s">
        <v>62</v>
      </c>
      <c r="AI325" s="689" t="s">
        <v>253</v>
      </c>
      <c r="AJ325" s="2443" t="s">
        <v>91</v>
      </c>
      <c r="AK325" s="2333" t="s">
        <v>534</v>
      </c>
      <c r="AL325" s="2113" t="s">
        <v>19</v>
      </c>
      <c r="AM325" s="2300"/>
      <c r="AN325" s="2443">
        <v>1</v>
      </c>
      <c r="AO325" s="2683" t="s">
        <v>28</v>
      </c>
      <c r="AP325" s="2364" t="s">
        <v>62</v>
      </c>
      <c r="AQ325" s="317"/>
      <c r="AR325" s="2443">
        <v>1</v>
      </c>
      <c r="AS325" s="2582" t="s">
        <v>541</v>
      </c>
      <c r="AT325" s="757"/>
      <c r="AU325" s="1263"/>
      <c r="AV325" s="757"/>
      <c r="AW325" s="1263">
        <v>25508.03</v>
      </c>
      <c r="AX325" s="2608">
        <v>46023.62207175926</v>
      </c>
      <c r="AY325" s="2113" t="s">
        <v>62</v>
      </c>
      <c r="AZ325" s="2608">
        <v>46387.64417824074</v>
      </c>
      <c r="BA325" s="2113" t="s">
        <v>62</v>
      </c>
      <c r="BB325" s="1354"/>
      <c r="BC325" s="2259" t="s">
        <v>514</v>
      </c>
      <c r="BD325" s="1648"/>
      <c r="BE325" s="1630"/>
      <c r="BF325" s="1630" t="str">
        <f>IF(T325="","",T325)</f>
        <v/>
      </c>
      <c r="BG325" s="1630"/>
      <c r="BH325" s="1630"/>
      <c r="BI325" s="1641">
        <v>0</v>
      </c>
    </row>
    <row customHeight="1" ht="14.25">
      <c r="A326" s="1369"/>
      <c r="B326" s="1369"/>
      <c r="C326" s="1369"/>
      <c r="D326" s="1369"/>
      <c r="E326" s="2265"/>
      <c r="F326" s="2265"/>
      <c r="G326" s="2265"/>
      <c r="H326" s="2265"/>
      <c r="I326" s="2292"/>
      <c r="J326" s="2292"/>
      <c r="K326" s="2262" t="str">
        <f>S322&amp;".1"</f>
        <v>.1.1.1</v>
      </c>
      <c r="L326" s="1375"/>
      <c r="M326" s="1782"/>
      <c r="N326" s="1782"/>
      <c r="O326" s="1782"/>
      <c r="P326" s="2380"/>
      <c r="Q326" s="2380"/>
      <c r="R326" s="2353">
        <v>1</v>
      </c>
      <c r="S326" s="2347" t="str">
        <f>$K326</f>
        <v>.1.1.1</v>
      </c>
      <c r="T326" s="2366"/>
      <c r="U326" s="306"/>
      <c r="V326" s="757"/>
      <c r="W326" s="1263"/>
      <c r="X326" s="757"/>
      <c r="Y326" s="1263"/>
      <c r="Z326" s="2608"/>
      <c r="AA326" s="2113" t="s">
        <v>62</v>
      </c>
      <c r="AB326" s="2608"/>
      <c r="AC326" s="2113" t="s">
        <v>62</v>
      </c>
      <c r="AD326" s="2191" t="s">
        <v>62</v>
      </c>
      <c r="AE326" s="2332"/>
      <c r="AF326" s="2443">
        <v>1</v>
      </c>
      <c r="AG326" s="2369"/>
      <c r="AH326" s="2113" t="s">
        <v>62</v>
      </c>
      <c r="AI326" s="2332"/>
      <c r="AJ326" s="2443">
        <v>1</v>
      </c>
      <c r="AK326" s="2333" t="s">
        <v>28</v>
      </c>
      <c r="AL326" s="2113" t="s">
        <v>62</v>
      </c>
      <c r="AM326" s="2300"/>
      <c r="AN326" s="2443">
        <v>1</v>
      </c>
      <c r="AO326" s="2683" t="s">
        <v>28</v>
      </c>
      <c r="AP326" s="2364" t="s">
        <v>62</v>
      </c>
      <c r="AQ326" s="689" t="s">
        <v>253</v>
      </c>
      <c r="AR326" s="2443" t="s">
        <v>112</v>
      </c>
      <c r="AS326" s="2582" t="s">
        <v>541</v>
      </c>
      <c r="AT326" s="757"/>
      <c r="AU326" s="1263"/>
      <c r="AV326" s="757"/>
      <c r="AW326" s="1263">
        <v>26352.17</v>
      </c>
      <c r="AX326" s="2608">
        <v>46023.622141203705</v>
      </c>
      <c r="AY326" s="2113" t="s">
        <v>62</v>
      </c>
      <c r="AZ326" s="2608">
        <v>46387.644270833334</v>
      </c>
      <c r="BA326" s="2113" t="s">
        <v>62</v>
      </c>
      <c r="BB326" s="1354"/>
      <c r="BC326" s="2259" t="s">
        <v>514</v>
      </c>
      <c r="BD326" s="1648"/>
      <c r="BE326" s="1630"/>
      <c r="BF326" s="1630" t="str">
        <f>IF(T326="","",T326)</f>
        <v/>
      </c>
      <c r="BG326" s="1630"/>
      <c r="BH326" s="1630"/>
      <c r="BI326" s="1641">
        <v>0</v>
      </c>
    </row>
    <row customHeight="1" ht="14.25">
      <c r="A327" s="1369"/>
      <c r="B327" s="1369"/>
      <c r="C327" s="1369"/>
      <c r="D327" s="1369"/>
      <c r="E327" s="2265"/>
      <c r="F327" s="2265"/>
      <c r="G327" s="2265"/>
      <c r="H327" s="2265"/>
      <c r="I327" s="2292"/>
      <c r="J327" s="2292"/>
      <c r="K327" s="2262"/>
      <c r="L327" s="1375"/>
      <c r="M327" s="1782"/>
      <c r="N327" s="1782"/>
      <c r="O327" s="1782"/>
      <c r="P327" s="2380"/>
      <c r="Q327" s="2380"/>
      <c r="R327" s="2353"/>
      <c r="S327" s="2348"/>
      <c r="T327" s="2367"/>
      <c r="U327" s="306"/>
      <c r="V327" s="5741"/>
      <c r="W327" s="5742"/>
      <c r="X327" s="5743"/>
      <c r="Y327" s="5744"/>
      <c r="Z327" s="5745"/>
      <c r="AA327" s="5746"/>
      <c r="AB327" s="5747"/>
      <c r="AC327" s="5748"/>
      <c r="AD327" s="2192"/>
      <c r="AE327" s="2332"/>
      <c r="AF327" s="2443"/>
      <c r="AG327" s="2369"/>
      <c r="AH327" s="2113"/>
      <c r="AI327" s="2332"/>
      <c r="AJ327" s="2443" t="s">
        <v>112</v>
      </c>
      <c r="AK327" s="2333"/>
      <c r="AL327" s="2113"/>
      <c r="AM327" s="2301"/>
      <c r="AN327" s="2443"/>
      <c r="AO327" s="2683" t="s">
        <v>28</v>
      </c>
      <c r="AP327" s="2365"/>
      <c r="AQ327" s="5749"/>
      <c r="AR327" s="5750"/>
      <c r="AS327" s="5751" t="s">
        <v>515</v>
      </c>
      <c r="AT327" s="5752"/>
      <c r="AU327" s="5753"/>
      <c r="AV327" s="5754"/>
      <c r="AW327" s="5755"/>
      <c r="AX327" s="5756"/>
      <c r="AY327" s="5757"/>
      <c r="AZ327" s="5758"/>
      <c r="BA327" s="5759"/>
      <c r="BB327" s="5760"/>
      <c r="BC327" s="2260"/>
      <c r="BD327" s="1648"/>
      <c r="BE327" s="1630"/>
      <c r="BF327" s="1630"/>
      <c r="BG327" s="1630"/>
      <c r="BH327" s="1630"/>
      <c r="BI327" s="1641">
        <v>0</v>
      </c>
    </row>
    <row customHeight="1" ht="14.25">
      <c r="A328" s="1369"/>
      <c r="B328" s="1369"/>
      <c r="C328" s="1369"/>
      <c r="D328" s="1369"/>
      <c r="E328" s="2265"/>
      <c r="F328" s="2265"/>
      <c r="G328" s="2265"/>
      <c r="H328" s="2265"/>
      <c r="I328" s="2292"/>
      <c r="J328" s="2292"/>
      <c r="K328" s="2262"/>
      <c r="L328" s="1375"/>
      <c r="M328" s="1782"/>
      <c r="N328" s="1782"/>
      <c r="O328" s="1782"/>
      <c r="P328" s="2380"/>
      <c r="Q328" s="2380"/>
      <c r="R328" s="2353"/>
      <c r="S328" s="2348"/>
      <c r="T328" s="2367"/>
      <c r="U328" s="306"/>
      <c r="V328" s="5761"/>
      <c r="W328" s="5762"/>
      <c r="X328" s="5763"/>
      <c r="Y328" s="5764"/>
      <c r="Z328" s="5765"/>
      <c r="AA328" s="5766"/>
      <c r="AB328" s="5767"/>
      <c r="AC328" s="5768"/>
      <c r="AD328" s="2192"/>
      <c r="AE328" s="2332"/>
      <c r="AF328" s="2443"/>
      <c r="AG328" s="2369"/>
      <c r="AH328" s="2113"/>
      <c r="AI328" s="2332"/>
      <c r="AJ328" s="2443" t="s">
        <v>112</v>
      </c>
      <c r="AK328" s="2333"/>
      <c r="AL328" s="2113"/>
      <c r="AM328" s="5769"/>
      <c r="AN328" s="5770"/>
      <c r="AO328" s="5771" t="s">
        <v>516</v>
      </c>
      <c r="AP328" s="5772"/>
      <c r="AQ328" s="5773"/>
      <c r="AR328" s="5774"/>
      <c r="AS328" s="5775"/>
      <c r="AT328" s="5776"/>
      <c r="AU328" s="5777"/>
      <c r="AV328" s="5778"/>
      <c r="AW328" s="5779"/>
      <c r="AX328" s="5780"/>
      <c r="AY328" s="5781"/>
      <c r="AZ328" s="5782"/>
      <c r="BA328" s="5783"/>
      <c r="BB328" s="5784"/>
      <c r="BC328" s="2260"/>
      <c r="BD328" s="1648"/>
      <c r="BE328" s="1630"/>
      <c r="BF328" s="1630"/>
      <c r="BG328" s="1630"/>
      <c r="BH328" s="1630"/>
      <c r="BI328" s="1641">
        <v>0</v>
      </c>
    </row>
    <row customHeight="1" ht="14.25">
      <c r="A329" s="1369"/>
      <c r="B329" s="1369"/>
      <c r="C329" s="1369"/>
      <c r="D329" s="1369"/>
      <c r="E329" s="2265"/>
      <c r="F329" s="2265"/>
      <c r="G329" s="2265"/>
      <c r="H329" s="2265"/>
      <c r="I329" s="2292"/>
      <c r="J329" s="2292"/>
      <c r="K329" s="2262" t="str">
        <f>S324&amp;".1"</f>
        <v>.1</v>
      </c>
      <c r="L329" s="1375"/>
      <c r="M329" s="1782"/>
      <c r="N329" s="1782"/>
      <c r="O329" s="1782"/>
      <c r="P329" s="2380"/>
      <c r="Q329" s="2380"/>
      <c r="R329" s="2353">
        <v>1</v>
      </c>
      <c r="S329" s="2347" t="str">
        <f>$K329</f>
        <v>.1</v>
      </c>
      <c r="T329" s="2366"/>
      <c r="U329" s="306"/>
      <c r="V329" s="757"/>
      <c r="W329" s="1263"/>
      <c r="X329" s="757"/>
      <c r="Y329" s="1263"/>
      <c r="Z329" s="2608"/>
      <c r="AA329" s="2113" t="s">
        <v>62</v>
      </c>
      <c r="AB329" s="2608"/>
      <c r="AC329" s="2113" t="s">
        <v>62</v>
      </c>
      <c r="AD329" s="2191" t="s">
        <v>62</v>
      </c>
      <c r="AE329" s="2332"/>
      <c r="AF329" s="2443">
        <v>1</v>
      </c>
      <c r="AG329" s="2369"/>
      <c r="AH329" s="2113" t="s">
        <v>62</v>
      </c>
      <c r="AI329" s="689" t="s">
        <v>253</v>
      </c>
      <c r="AJ329" s="2443" t="s">
        <v>92</v>
      </c>
      <c r="AK329" s="2333" t="s">
        <v>535</v>
      </c>
      <c r="AL329" s="2113" t="s">
        <v>19</v>
      </c>
      <c r="AM329" s="2300"/>
      <c r="AN329" s="2443">
        <v>1</v>
      </c>
      <c r="AO329" s="2683" t="s">
        <v>28</v>
      </c>
      <c r="AP329" s="2364" t="s">
        <v>62</v>
      </c>
      <c r="AQ329" s="317"/>
      <c r="AR329" s="2443">
        <v>1</v>
      </c>
      <c r="AS329" s="2582" t="s">
        <v>541</v>
      </c>
      <c r="AT329" s="757"/>
      <c r="AU329" s="1263"/>
      <c r="AV329" s="757"/>
      <c r="AW329" s="1263">
        <v>34643.49</v>
      </c>
      <c r="AX329" s="2608">
        <v>46023.62217592593</v>
      </c>
      <c r="AY329" s="2113" t="s">
        <v>62</v>
      </c>
      <c r="AZ329" s="2608">
        <v>46387.644375</v>
      </c>
      <c r="BA329" s="2113" t="s">
        <v>62</v>
      </c>
      <c r="BB329" s="1354"/>
      <c r="BC329" s="2259" t="s">
        <v>514</v>
      </c>
      <c r="BD329" s="1648"/>
      <c r="BE329" s="1630"/>
      <c r="BF329" s="1630" t="str">
        <f>IF(T329="","",T329)</f>
        <v/>
      </c>
      <c r="BG329" s="1630"/>
      <c r="BH329" s="1630"/>
      <c r="BI329" s="1641">
        <v>0</v>
      </c>
    </row>
    <row customHeight="1" ht="14.25">
      <c r="A330" s="1369"/>
      <c r="B330" s="1369"/>
      <c r="C330" s="1369"/>
      <c r="D330" s="1369"/>
      <c r="E330" s="2265"/>
      <c r="F330" s="2265"/>
      <c r="G330" s="2265"/>
      <c r="H330" s="2265"/>
      <c r="I330" s="2292"/>
      <c r="J330" s="2292"/>
      <c r="K330" s="2262" t="str">
        <f>S326&amp;".1"</f>
        <v>.1.1.1.1</v>
      </c>
      <c r="L330" s="1375"/>
      <c r="M330" s="1782"/>
      <c r="N330" s="1782"/>
      <c r="O330" s="1782"/>
      <c r="P330" s="2380"/>
      <c r="Q330" s="2380"/>
      <c r="R330" s="2353">
        <v>1</v>
      </c>
      <c r="S330" s="2347" t="str">
        <f>$K330</f>
        <v>.1.1.1.1</v>
      </c>
      <c r="T330" s="2366"/>
      <c r="U330" s="306"/>
      <c r="V330" s="757"/>
      <c r="W330" s="1263"/>
      <c r="X330" s="757"/>
      <c r="Y330" s="1263"/>
      <c r="Z330" s="2608"/>
      <c r="AA330" s="2113" t="s">
        <v>62</v>
      </c>
      <c r="AB330" s="2608"/>
      <c r="AC330" s="2113" t="s">
        <v>62</v>
      </c>
      <c r="AD330" s="2191" t="s">
        <v>62</v>
      </c>
      <c r="AE330" s="2332"/>
      <c r="AF330" s="2443">
        <v>1</v>
      </c>
      <c r="AG330" s="2369"/>
      <c r="AH330" s="2113" t="s">
        <v>62</v>
      </c>
      <c r="AI330" s="2332"/>
      <c r="AJ330" s="2443">
        <v>1</v>
      </c>
      <c r="AK330" s="2333" t="s">
        <v>28</v>
      </c>
      <c r="AL330" s="2113" t="s">
        <v>62</v>
      </c>
      <c r="AM330" s="2300"/>
      <c r="AN330" s="2443">
        <v>1</v>
      </c>
      <c r="AO330" s="2683" t="s">
        <v>28</v>
      </c>
      <c r="AP330" s="2364" t="s">
        <v>62</v>
      </c>
      <c r="AQ330" s="689" t="s">
        <v>253</v>
      </c>
      <c r="AR330" s="2443" t="s">
        <v>112</v>
      </c>
      <c r="AS330" s="2582" t="s">
        <v>541</v>
      </c>
      <c r="AT330" s="757"/>
      <c r="AU330" s="1263"/>
      <c r="AV330" s="757"/>
      <c r="AW330" s="1263">
        <v>36982.73</v>
      </c>
      <c r="AX330" s="2608">
        <v>46023.62221064815</v>
      </c>
      <c r="AY330" s="2113" t="s">
        <v>62</v>
      </c>
      <c r="AZ330" s="2608">
        <v>46387.64445601852</v>
      </c>
      <c r="BA330" s="2113" t="s">
        <v>62</v>
      </c>
      <c r="BB330" s="1354"/>
      <c r="BC330" s="2259" t="s">
        <v>514</v>
      </c>
      <c r="BD330" s="1648"/>
      <c r="BE330" s="1630"/>
      <c r="BF330" s="1630" t="str">
        <f>IF(T330="","",T330)</f>
        <v/>
      </c>
      <c r="BG330" s="1630"/>
      <c r="BH330" s="1630"/>
      <c r="BI330" s="1641">
        <v>0</v>
      </c>
    </row>
    <row customHeight="1" ht="14.25">
      <c r="A331" s="1369"/>
      <c r="B331" s="1369"/>
      <c r="C331" s="1369"/>
      <c r="D331" s="1369"/>
      <c r="E331" s="2265"/>
      <c r="F331" s="2265"/>
      <c r="G331" s="2265"/>
      <c r="H331" s="2265"/>
      <c r="I331" s="2292"/>
      <c r="J331" s="2292"/>
      <c r="K331" s="2262"/>
      <c r="L331" s="1375"/>
      <c r="M331" s="1782"/>
      <c r="N331" s="1782"/>
      <c r="O331" s="1782"/>
      <c r="P331" s="2380"/>
      <c r="Q331" s="2380"/>
      <c r="R331" s="2353"/>
      <c r="S331" s="2348"/>
      <c r="T331" s="2367"/>
      <c r="U331" s="306"/>
      <c r="V331" s="5785"/>
      <c r="W331" s="5786"/>
      <c r="X331" s="5787"/>
      <c r="Y331" s="5788"/>
      <c r="Z331" s="5789"/>
      <c r="AA331" s="5790"/>
      <c r="AB331" s="5791"/>
      <c r="AC331" s="5792"/>
      <c r="AD331" s="2192"/>
      <c r="AE331" s="2332"/>
      <c r="AF331" s="2443"/>
      <c r="AG331" s="2369"/>
      <c r="AH331" s="2113"/>
      <c r="AI331" s="2332"/>
      <c r="AJ331" s="2443" t="s">
        <v>91</v>
      </c>
      <c r="AK331" s="2333"/>
      <c r="AL331" s="2113"/>
      <c r="AM331" s="2301"/>
      <c r="AN331" s="2443"/>
      <c r="AO331" s="2683" t="s">
        <v>28</v>
      </c>
      <c r="AP331" s="2365"/>
      <c r="AQ331" s="5793"/>
      <c r="AR331" s="5794"/>
      <c r="AS331" s="5795" t="s">
        <v>515</v>
      </c>
      <c r="AT331" s="5796"/>
      <c r="AU331" s="5797"/>
      <c r="AV331" s="5798"/>
      <c r="AW331" s="5799"/>
      <c r="AX331" s="5800"/>
      <c r="AY331" s="5801"/>
      <c r="AZ331" s="5802"/>
      <c r="BA331" s="5803"/>
      <c r="BB331" s="5804"/>
      <c r="BC331" s="2260"/>
      <c r="BD331" s="1648"/>
      <c r="BE331" s="1630"/>
      <c r="BF331" s="1630"/>
      <c r="BG331" s="1630"/>
      <c r="BH331" s="1630"/>
      <c r="BI331" s="1641">
        <v>0</v>
      </c>
    </row>
    <row customHeight="1" ht="14.25">
      <c r="A332" s="1369"/>
      <c r="B332" s="1369"/>
      <c r="C332" s="1369"/>
      <c r="D332" s="1369"/>
      <c r="E332" s="2265"/>
      <c r="F332" s="2265"/>
      <c r="G332" s="2265"/>
      <c r="H332" s="2265"/>
      <c r="I332" s="2292"/>
      <c r="J332" s="2292"/>
      <c r="K332" s="2262"/>
      <c r="L332" s="1375"/>
      <c r="M332" s="1782"/>
      <c r="N332" s="1782"/>
      <c r="O332" s="1782"/>
      <c r="P332" s="2380"/>
      <c r="Q332" s="2380"/>
      <c r="R332" s="2353"/>
      <c r="S332" s="2348"/>
      <c r="T332" s="2367"/>
      <c r="U332" s="306"/>
      <c r="V332" s="5805"/>
      <c r="W332" s="5806"/>
      <c r="X332" s="5807"/>
      <c r="Y332" s="5808"/>
      <c r="Z332" s="5809"/>
      <c r="AA332" s="5810"/>
      <c r="AB332" s="5811"/>
      <c r="AC332" s="5812"/>
      <c r="AD332" s="2192"/>
      <c r="AE332" s="2332"/>
      <c r="AF332" s="2443"/>
      <c r="AG332" s="2369"/>
      <c r="AH332" s="2113"/>
      <c r="AI332" s="2332"/>
      <c r="AJ332" s="2443" t="s">
        <v>91</v>
      </c>
      <c r="AK332" s="2333"/>
      <c r="AL332" s="2113"/>
      <c r="AM332" s="5813"/>
      <c r="AN332" s="5814"/>
      <c r="AO332" s="5815" t="s">
        <v>516</v>
      </c>
      <c r="AP332" s="5816"/>
      <c r="AQ332" s="5817"/>
      <c r="AR332" s="5818"/>
      <c r="AS332" s="5819"/>
      <c r="AT332" s="5820"/>
      <c r="AU332" s="5821"/>
      <c r="AV332" s="5822"/>
      <c r="AW332" s="5823"/>
      <c r="AX332" s="5824"/>
      <c r="AY332" s="5825"/>
      <c r="AZ332" s="5826"/>
      <c r="BA332" s="5827"/>
      <c r="BB332" s="5828"/>
      <c r="BC332" s="2260"/>
      <c r="BD332" s="1648"/>
      <c r="BE332" s="1630"/>
      <c r="BF332" s="1630"/>
      <c r="BG332" s="1630"/>
      <c r="BH332" s="1630"/>
      <c r="BI332" s="1641">
        <v>0</v>
      </c>
    </row>
    <row customHeight="1" ht="14.25">
      <c r="A333" s="1369"/>
      <c r="B333" s="1369"/>
      <c r="C333" s="1369"/>
      <c r="D333" s="1369"/>
      <c r="E333" s="2265"/>
      <c r="F333" s="2265"/>
      <c r="G333" s="2265"/>
      <c r="H333" s="2265"/>
      <c r="I333" s="2292"/>
      <c r="J333" s="2292"/>
      <c r="K333" s="2262" t="str">
        <f>S329&amp;".1"</f>
        <v>.1.1</v>
      </c>
      <c r="L333" s="1375"/>
      <c r="M333" s="1782"/>
      <c r="N333" s="1782"/>
      <c r="O333" s="1782"/>
      <c r="P333" s="2380"/>
      <c r="Q333" s="2380"/>
      <c r="R333" s="2353">
        <v>1</v>
      </c>
      <c r="S333" s="2347" t="str">
        <f>$K333</f>
        <v>.1.1</v>
      </c>
      <c r="T333" s="2366"/>
      <c r="U333" s="306"/>
      <c r="V333" s="757"/>
      <c r="W333" s="1263"/>
      <c r="X333" s="757"/>
      <c r="Y333" s="1263"/>
      <c r="Z333" s="2608"/>
      <c r="AA333" s="2113" t="s">
        <v>62</v>
      </c>
      <c r="AB333" s="2608"/>
      <c r="AC333" s="2113" t="s">
        <v>62</v>
      </c>
      <c r="AD333" s="2191" t="s">
        <v>62</v>
      </c>
      <c r="AE333" s="2332"/>
      <c r="AF333" s="2443">
        <v>1</v>
      </c>
      <c r="AG333" s="2369"/>
      <c r="AH333" s="2113" t="s">
        <v>62</v>
      </c>
      <c r="AI333" s="689" t="s">
        <v>253</v>
      </c>
      <c r="AJ333" s="2443" t="s">
        <v>113</v>
      </c>
      <c r="AK333" s="2333" t="s">
        <v>536</v>
      </c>
      <c r="AL333" s="2113" t="s">
        <v>19</v>
      </c>
      <c r="AM333" s="2300"/>
      <c r="AN333" s="2443">
        <v>1</v>
      </c>
      <c r="AO333" s="2683" t="s">
        <v>28</v>
      </c>
      <c r="AP333" s="2364" t="s">
        <v>62</v>
      </c>
      <c r="AQ333" s="317"/>
      <c r="AR333" s="2443">
        <v>1</v>
      </c>
      <c r="AS333" s="2582" t="s">
        <v>541</v>
      </c>
      <c r="AT333" s="757"/>
      <c r="AU333" s="1263"/>
      <c r="AV333" s="757"/>
      <c r="AW333" s="1263">
        <v>41192.59</v>
      </c>
      <c r="AX333" s="2608">
        <v>46023.622245370374</v>
      </c>
      <c r="AY333" s="2113" t="s">
        <v>62</v>
      </c>
      <c r="AZ333" s="2608">
        <v>46387.64456018519</v>
      </c>
      <c r="BA333" s="2113" t="s">
        <v>62</v>
      </c>
      <c r="BB333" s="1354"/>
      <c r="BC333" s="2259" t="s">
        <v>514</v>
      </c>
      <c r="BD333" s="1648"/>
      <c r="BE333" s="1630"/>
      <c r="BF333" s="1630" t="str">
        <f>IF(T333="","",T333)</f>
        <v/>
      </c>
      <c r="BG333" s="1630"/>
      <c r="BH333" s="1630"/>
      <c r="BI333" s="1641">
        <v>0</v>
      </c>
    </row>
    <row customHeight="1" ht="14.25">
      <c r="A334" s="1369"/>
      <c r="B334" s="1369"/>
      <c r="C334" s="1369"/>
      <c r="D334" s="1369"/>
      <c r="E334" s="2265"/>
      <c r="F334" s="2265"/>
      <c r="G334" s="2265"/>
      <c r="H334" s="2265"/>
      <c r="I334" s="2292"/>
      <c r="J334" s="2292"/>
      <c r="K334" s="2262"/>
      <c r="L334" s="1375"/>
      <c r="M334" s="1782"/>
      <c r="N334" s="1782"/>
      <c r="O334" s="1782"/>
      <c r="P334" s="2380"/>
      <c r="Q334" s="2380"/>
      <c r="R334" s="2353"/>
      <c r="S334" s="2348"/>
      <c r="T334" s="2367"/>
      <c r="U334" s="306"/>
      <c r="V334" s="5829"/>
      <c r="W334" s="5830"/>
      <c r="X334" s="5831"/>
      <c r="Y334" s="5832"/>
      <c r="Z334" s="5833"/>
      <c r="AA334" s="5834"/>
      <c r="AB334" s="5835"/>
      <c r="AC334" s="5836"/>
      <c r="AD334" s="2192"/>
      <c r="AE334" s="2332"/>
      <c r="AF334" s="2443"/>
      <c r="AG334" s="2369"/>
      <c r="AH334" s="2113"/>
      <c r="AI334" s="2332"/>
      <c r="AJ334" s="2443" t="s">
        <v>92</v>
      </c>
      <c r="AK334" s="2333"/>
      <c r="AL334" s="2113"/>
      <c r="AM334" s="2301"/>
      <c r="AN334" s="2443"/>
      <c r="AO334" s="2683" t="s">
        <v>28</v>
      </c>
      <c r="AP334" s="2365"/>
      <c r="AQ334" s="5837"/>
      <c r="AR334" s="5838"/>
      <c r="AS334" s="5839" t="s">
        <v>515</v>
      </c>
      <c r="AT334" s="5840"/>
      <c r="AU334" s="5841"/>
      <c r="AV334" s="5842"/>
      <c r="AW334" s="5843"/>
      <c r="AX334" s="5844"/>
      <c r="AY334" s="5845"/>
      <c r="AZ334" s="5846"/>
      <c r="BA334" s="5847"/>
      <c r="BB334" s="5848"/>
      <c r="BC334" s="2260"/>
      <c r="BD334" s="1648"/>
      <c r="BE334" s="1630"/>
      <c r="BF334" s="1630"/>
      <c r="BG334" s="1630"/>
      <c r="BH334" s="1630"/>
      <c r="BI334" s="1641">
        <v>0</v>
      </c>
    </row>
    <row customHeight="1" ht="14.25">
      <c r="A335" s="1369"/>
      <c r="B335" s="1369"/>
      <c r="C335" s="1369"/>
      <c r="D335" s="1369"/>
      <c r="E335" s="2265"/>
      <c r="F335" s="2265"/>
      <c r="G335" s="2265"/>
      <c r="H335" s="2265"/>
      <c r="I335" s="2292"/>
      <c r="J335" s="2292"/>
      <c r="K335" s="2262"/>
      <c r="L335" s="1375"/>
      <c r="M335" s="1782"/>
      <c r="N335" s="1782"/>
      <c r="O335" s="1782"/>
      <c r="P335" s="2380"/>
      <c r="Q335" s="2380"/>
      <c r="R335" s="2353"/>
      <c r="S335" s="2348"/>
      <c r="T335" s="2367"/>
      <c r="U335" s="306"/>
      <c r="V335" s="5849"/>
      <c r="W335" s="5850"/>
      <c r="X335" s="5851"/>
      <c r="Y335" s="5852"/>
      <c r="Z335" s="5853"/>
      <c r="AA335" s="5854"/>
      <c r="AB335" s="5855"/>
      <c r="AC335" s="5856"/>
      <c r="AD335" s="2192"/>
      <c r="AE335" s="2332"/>
      <c r="AF335" s="2443"/>
      <c r="AG335" s="2369"/>
      <c r="AH335" s="2113"/>
      <c r="AI335" s="2332"/>
      <c r="AJ335" s="2443" t="s">
        <v>92</v>
      </c>
      <c r="AK335" s="2333"/>
      <c r="AL335" s="2113"/>
      <c r="AM335" s="5857"/>
      <c r="AN335" s="5858"/>
      <c r="AO335" s="5859" t="s">
        <v>516</v>
      </c>
      <c r="AP335" s="5860"/>
      <c r="AQ335" s="5861"/>
      <c r="AR335" s="5862"/>
      <c r="AS335" s="5863"/>
      <c r="AT335" s="5864"/>
      <c r="AU335" s="5865"/>
      <c r="AV335" s="5866"/>
      <c r="AW335" s="5867"/>
      <c r="AX335" s="5868"/>
      <c r="AY335" s="5869"/>
      <c r="AZ335" s="5870"/>
      <c r="BA335" s="5871"/>
      <c r="BB335" s="5872"/>
      <c r="BC335" s="2260"/>
      <c r="BD335" s="1648"/>
      <c r="BE335" s="1630"/>
      <c r="BF335" s="1630"/>
      <c r="BG335" s="1630"/>
      <c r="BH335" s="1630"/>
      <c r="BI335" s="1641">
        <v>0</v>
      </c>
    </row>
    <row customHeight="1" ht="14.25">
      <c r="A336" s="1369"/>
      <c r="B336" s="1369"/>
      <c r="C336" s="1369"/>
      <c r="D336" s="1369"/>
      <c r="E336" s="2265"/>
      <c r="F336" s="2265"/>
      <c r="G336" s="2265"/>
      <c r="H336" s="2265"/>
      <c r="I336" s="2292"/>
      <c r="J336" s="2292"/>
      <c r="K336" s="2262" t="str">
        <f>S332&amp;".1"</f>
        <v>.1</v>
      </c>
      <c r="L336" s="1375"/>
      <c r="M336" s="1782"/>
      <c r="N336" s="1782"/>
      <c r="O336" s="1782"/>
      <c r="P336" s="2380"/>
      <c r="Q336" s="2380"/>
      <c r="R336" s="2353">
        <v>1</v>
      </c>
      <c r="S336" s="2347" t="str">
        <f>$K336</f>
        <v>.1</v>
      </c>
      <c r="T336" s="2366"/>
      <c r="U336" s="306"/>
      <c r="V336" s="757"/>
      <c r="W336" s="1263"/>
      <c r="X336" s="757"/>
      <c r="Y336" s="1263"/>
      <c r="Z336" s="2608"/>
      <c r="AA336" s="2113" t="s">
        <v>62</v>
      </c>
      <c r="AB336" s="2608"/>
      <c r="AC336" s="2113" t="s">
        <v>62</v>
      </c>
      <c r="AD336" s="2191" t="s">
        <v>62</v>
      </c>
      <c r="AE336" s="2332"/>
      <c r="AF336" s="2443">
        <v>1</v>
      </c>
      <c r="AG336" s="2369"/>
      <c r="AH336" s="2113" t="s">
        <v>62</v>
      </c>
      <c r="AI336" s="689" t="s">
        <v>253</v>
      </c>
      <c r="AJ336" s="2443" t="s">
        <v>93</v>
      </c>
      <c r="AK336" s="2333" t="s">
        <v>537</v>
      </c>
      <c r="AL336" s="2113" t="s">
        <v>19</v>
      </c>
      <c r="AM336" s="2300"/>
      <c r="AN336" s="2443">
        <v>1</v>
      </c>
      <c r="AO336" s="2683" t="s">
        <v>28</v>
      </c>
      <c r="AP336" s="2364" t="s">
        <v>62</v>
      </c>
      <c r="AQ336" s="317"/>
      <c r="AR336" s="2443">
        <v>1</v>
      </c>
      <c r="AS336" s="2582" t="s">
        <v>541</v>
      </c>
      <c r="AT336" s="757"/>
      <c r="AU336" s="1263"/>
      <c r="AV336" s="757"/>
      <c r="AW336" s="1263">
        <v>53708.21</v>
      </c>
      <c r="AX336" s="2608">
        <v>46023.62228009259</v>
      </c>
      <c r="AY336" s="2113" t="s">
        <v>62</v>
      </c>
      <c r="AZ336" s="2608">
        <v>46387.644907407404</v>
      </c>
      <c r="BA336" s="2113" t="s">
        <v>62</v>
      </c>
      <c r="BB336" s="1354"/>
      <c r="BC336" s="2259" t="s">
        <v>514</v>
      </c>
      <c r="BD336" s="1648"/>
      <c r="BE336" s="1630"/>
      <c r="BF336" s="1630" t="str">
        <f>IF(T336="","",T336)</f>
        <v/>
      </c>
      <c r="BG336" s="1630"/>
      <c r="BH336" s="1630"/>
      <c r="BI336" s="1641">
        <v>0</v>
      </c>
    </row>
    <row customHeight="1" ht="14.25">
      <c r="A337" s="1369"/>
      <c r="B337" s="1369"/>
      <c r="C337" s="1369"/>
      <c r="D337" s="1369"/>
      <c r="E337" s="2265"/>
      <c r="F337" s="2265"/>
      <c r="G337" s="2265"/>
      <c r="H337" s="2265"/>
      <c r="I337" s="2292"/>
      <c r="J337" s="2292"/>
      <c r="K337" s="2262"/>
      <c r="L337" s="1375"/>
      <c r="M337" s="1782"/>
      <c r="N337" s="1782"/>
      <c r="O337" s="1782"/>
      <c r="P337" s="2380"/>
      <c r="Q337" s="2380"/>
      <c r="R337" s="2353"/>
      <c r="S337" s="2348"/>
      <c r="T337" s="2367"/>
      <c r="U337" s="306"/>
      <c r="V337" s="5873"/>
      <c r="W337" s="5874"/>
      <c r="X337" s="5875"/>
      <c r="Y337" s="5876"/>
      <c r="Z337" s="5877"/>
      <c r="AA337" s="5878"/>
      <c r="AB337" s="5879"/>
      <c r="AC337" s="5880"/>
      <c r="AD337" s="2192"/>
      <c r="AE337" s="2332"/>
      <c r="AF337" s="2443"/>
      <c r="AG337" s="2369"/>
      <c r="AH337" s="2113"/>
      <c r="AI337" s="2332"/>
      <c r="AJ337" s="2443" t="s">
        <v>113</v>
      </c>
      <c r="AK337" s="2333"/>
      <c r="AL337" s="2113"/>
      <c r="AM337" s="2301"/>
      <c r="AN337" s="2443"/>
      <c r="AO337" s="2683" t="s">
        <v>28</v>
      </c>
      <c r="AP337" s="2365"/>
      <c r="AQ337" s="5881"/>
      <c r="AR337" s="5882"/>
      <c r="AS337" s="5883" t="s">
        <v>515</v>
      </c>
      <c r="AT337" s="5884"/>
      <c r="AU337" s="5885"/>
      <c r="AV337" s="5886"/>
      <c r="AW337" s="5887"/>
      <c r="AX337" s="5888"/>
      <c r="AY337" s="5889"/>
      <c r="AZ337" s="5890"/>
      <c r="BA337" s="5891"/>
      <c r="BB337" s="5892"/>
      <c r="BC337" s="2260"/>
      <c r="BD337" s="1648"/>
      <c r="BE337" s="1630"/>
      <c r="BF337" s="1630"/>
      <c r="BG337" s="1630"/>
      <c r="BH337" s="1630"/>
      <c r="BI337" s="1641">
        <v>0</v>
      </c>
    </row>
    <row customHeight="1" ht="14.25">
      <c r="A338" s="1369"/>
      <c r="B338" s="1369"/>
      <c r="C338" s="1369"/>
      <c r="D338" s="1369"/>
      <c r="E338" s="2265"/>
      <c r="F338" s="2265"/>
      <c r="G338" s="2265"/>
      <c r="H338" s="2265"/>
      <c r="I338" s="2292"/>
      <c r="J338" s="2292"/>
      <c r="K338" s="2262"/>
      <c r="L338" s="1375"/>
      <c r="M338" s="1782"/>
      <c r="N338" s="1782"/>
      <c r="O338" s="1782"/>
      <c r="P338" s="2380"/>
      <c r="Q338" s="2380"/>
      <c r="R338" s="2353"/>
      <c r="S338" s="2348"/>
      <c r="T338" s="2367"/>
      <c r="U338" s="306"/>
      <c r="V338" s="5893"/>
      <c r="W338" s="5894"/>
      <c r="X338" s="5895"/>
      <c r="Y338" s="5896"/>
      <c r="Z338" s="5897"/>
      <c r="AA338" s="5898"/>
      <c r="AB338" s="5899"/>
      <c r="AC338" s="5900"/>
      <c r="AD338" s="2192"/>
      <c r="AE338" s="2332"/>
      <c r="AF338" s="2443"/>
      <c r="AG338" s="2369"/>
      <c r="AH338" s="2113"/>
      <c r="AI338" s="2332"/>
      <c r="AJ338" s="2443" t="s">
        <v>113</v>
      </c>
      <c r="AK338" s="2333"/>
      <c r="AL338" s="2113"/>
      <c r="AM338" s="5901"/>
      <c r="AN338" s="5902"/>
      <c r="AO338" s="5903" t="s">
        <v>516</v>
      </c>
      <c r="AP338" s="5904"/>
      <c r="AQ338" s="5905"/>
      <c r="AR338" s="5906"/>
      <c r="AS338" s="5907"/>
      <c r="AT338" s="5908"/>
      <c r="AU338" s="5909"/>
      <c r="AV338" s="5910"/>
      <c r="AW338" s="5911"/>
      <c r="AX338" s="5912"/>
      <c r="AY338" s="5913"/>
      <c r="AZ338" s="5914"/>
      <c r="BA338" s="5915"/>
      <c r="BB338" s="5916"/>
      <c r="BC338" s="2260"/>
      <c r="BD338" s="1648"/>
      <c r="BE338" s="1630"/>
      <c r="BF338" s="1630"/>
      <c r="BG338" s="1630"/>
      <c r="BH338" s="1630"/>
      <c r="BI338" s="1641">
        <v>0</v>
      </c>
    </row>
    <row customHeight="1" ht="14.25">
      <c r="A339" s="1369"/>
      <c r="B339" s="1369"/>
      <c r="C339" s="1369"/>
      <c r="D339" s="1369"/>
      <c r="E339" s="2265"/>
      <c r="F339" s="2265"/>
      <c r="G339" s="2265"/>
      <c r="H339" s="2265"/>
      <c r="I339" s="2292"/>
      <c r="J339" s="2292"/>
      <c r="K339" s="2262" t="str">
        <f>S65&amp;".9"</f>
        <v>2.1.1.9</v>
      </c>
      <c r="L339" s="1375"/>
      <c r="M339" s="1782"/>
      <c r="N339" s="1782"/>
      <c r="O339" s="1782"/>
      <c r="P339" s="2380"/>
      <c r="Q339" s="2380"/>
      <c r="R339" s="2353"/>
      <c r="S339" s="2348"/>
      <c r="T339" s="2367"/>
      <c r="U339" s="306"/>
      <c r="V339" s="5917"/>
      <c r="W339" s="5918"/>
      <c r="X339" s="5919"/>
      <c r="Y339" s="5920"/>
      <c r="Z339" s="5921"/>
      <c r="AA339" s="5922"/>
      <c r="AB339" s="5923"/>
      <c r="AC339" s="5924"/>
      <c r="AD339" s="2192"/>
      <c r="AE339" s="2332"/>
      <c r="AF339" s="2443"/>
      <c r="AG339" s="2682" t="s">
        <v>28</v>
      </c>
      <c r="AH339" s="2113"/>
      <c r="AI339" s="5925"/>
      <c r="AJ339" s="5926"/>
      <c r="AK339" s="5927" t="s">
        <v>517</v>
      </c>
      <c r="AL339" s="5928"/>
      <c r="AM339" s="5929"/>
      <c r="AN339" s="5930"/>
      <c r="AO339" s="5931"/>
      <c r="AP339" s="5932"/>
      <c r="AQ339" s="5933"/>
      <c r="AR339" s="5934"/>
      <c r="AS339" s="5935"/>
      <c r="AT339" s="5936"/>
      <c r="AU339" s="5937"/>
      <c r="AV339" s="5938"/>
      <c r="AW339" s="5939"/>
      <c r="AX339" s="5940"/>
      <c r="AY339" s="5941"/>
      <c r="AZ339" s="5942"/>
      <c r="BA339" s="5943"/>
      <c r="BB339" s="5944"/>
      <c r="BC339" s="2260"/>
      <c r="BD339" s="1648"/>
      <c r="BE339" s="1630"/>
      <c r="BF339" s="1630"/>
      <c r="BG339" s="1630"/>
      <c r="BH339" s="1630"/>
      <c r="BI339" s="1641">
        <v>0</v>
      </c>
    </row>
    <row customHeight="1" ht="14.25">
      <c r="A340" s="1369"/>
      <c r="B340" s="1369"/>
      <c r="C340" s="1369"/>
      <c r="D340" s="1369"/>
      <c r="E340" s="2265"/>
      <c r="F340" s="2265"/>
      <c r="G340" s="2265"/>
      <c r="H340" s="2265"/>
      <c r="I340" s="2292"/>
      <c r="J340" s="2292"/>
      <c r="K340" s="2262" t="str">
        <f>S65&amp;".9"</f>
        <v>2.1.1.9</v>
      </c>
      <c r="L340" s="1375"/>
      <c r="M340" s="1782"/>
      <c r="N340" s="1782"/>
      <c r="O340" s="1782"/>
      <c r="P340" s="2380"/>
      <c r="Q340" s="2380"/>
      <c r="R340" s="2353"/>
      <c r="S340" s="2349"/>
      <c r="T340" s="2368"/>
      <c r="U340" s="306"/>
      <c r="V340" s="5945"/>
      <c r="W340" s="5946" t="str">
        <f>Z317&amp;"-"&amp;AB317</f>
        <v>-</v>
      </c>
      <c r="X340" s="5947"/>
      <c r="Y340" s="5948" t="str">
        <f>AB317&amp;"-"&amp;AD317</f>
        <v>-нет</v>
      </c>
      <c r="Z340" s="5949"/>
      <c r="AA340" s="5950"/>
      <c r="AB340" s="5951"/>
      <c r="AC340" s="5952"/>
      <c r="AD340" s="2118"/>
      <c r="AE340" s="5953"/>
      <c r="AF340" s="5954"/>
      <c r="AG340" s="5955" t="s">
        <v>518</v>
      </c>
      <c r="AH340" s="5956"/>
      <c r="AI340" s="5957"/>
      <c r="AJ340" s="5958"/>
      <c r="AK340" s="5959"/>
      <c r="AL340" s="5960"/>
      <c r="AM340" s="5961"/>
      <c r="AN340" s="5962"/>
      <c r="AO340" s="5963"/>
      <c r="AP340" s="5964"/>
      <c r="AQ340" s="5965"/>
      <c r="AR340" s="5966"/>
      <c r="AS340" s="5967"/>
      <c r="AT340" s="5968"/>
      <c r="AU340" s="5969" t="str">
        <f>AX317&amp;"-"&amp;AZ317</f>
        <v>46023.62196759259-46387.64378472222</v>
      </c>
      <c r="AV340" s="5970"/>
      <c r="AW340" s="5971" t="str">
        <f>AZ317&amp;"-"&amp;BB317</f>
        <v>46387.64378472222-</v>
      </c>
      <c r="AX340" s="5972"/>
      <c r="AY340" s="5973"/>
      <c r="AZ340" s="5974"/>
      <c r="BA340" s="5975"/>
      <c r="BB340" s="5976" t="str">
        <f>BE317&amp;"-"&amp;BG317</f>
        <v>-</v>
      </c>
      <c r="BC340" s="2260"/>
      <c r="BD340" s="1648"/>
      <c r="BE340" s="1630"/>
      <c r="BF340" s="1630" t="str">
        <f>IF(T340="","",T340)</f>
        <v/>
      </c>
      <c r="BG340" s="1630"/>
      <c r="BH340" s="1630"/>
      <c r="BI340" s="1641">
        <v>0</v>
      </c>
    </row>
    <row customHeight="1" ht="14.25">
      <c r="A341" s="1369"/>
      <c r="B341" s="1369"/>
      <c r="C341" s="1369"/>
      <c r="D341" s="1369"/>
      <c r="E341" s="2265"/>
      <c r="F341" s="2265"/>
      <c r="G341" s="2265"/>
      <c r="H341" s="2265"/>
      <c r="I341" s="2292"/>
      <c r="J341" s="2292"/>
      <c r="K341" s="2262" t="str">
        <f>S65&amp;".11"</f>
        <v>2.1.1.11</v>
      </c>
      <c r="L341" s="1375"/>
      <c r="M341" s="1782"/>
      <c r="N341" s="1782"/>
      <c r="O341" s="1782"/>
      <c r="P341" s="2380"/>
      <c r="Q341" s="2380"/>
      <c r="R341" s="689" t="s">
        <v>253</v>
      </c>
      <c r="S341" s="2347" t="str">
        <f>$K341</f>
        <v>2.1.1.11</v>
      </c>
      <c r="T341" s="2366" t="s">
        <v>548</v>
      </c>
      <c r="U341" s="306"/>
      <c r="V341" s="757"/>
      <c r="W341" s="1263"/>
      <c r="X341" s="757"/>
      <c r="Y341" s="1263"/>
      <c r="Z341" s="2608"/>
      <c r="AA341" s="2113" t="s">
        <v>62</v>
      </c>
      <c r="AB341" s="2608"/>
      <c r="AC341" s="2113" t="s">
        <v>62</v>
      </c>
      <c r="AD341" s="2191" t="s">
        <v>19</v>
      </c>
      <c r="AE341" s="2332"/>
      <c r="AF341" s="2443">
        <v>1</v>
      </c>
      <c r="AG341" s="2682" t="s">
        <v>28</v>
      </c>
      <c r="AH341" s="2113" t="s">
        <v>62</v>
      </c>
      <c r="AI341" s="2332"/>
      <c r="AJ341" s="2443">
        <v>1</v>
      </c>
      <c r="AK341" s="2333" t="s">
        <v>532</v>
      </c>
      <c r="AL341" s="2113" t="s">
        <v>19</v>
      </c>
      <c r="AM341" s="2300"/>
      <c r="AN341" s="2443">
        <v>1</v>
      </c>
      <c r="AO341" s="2683" t="s">
        <v>28</v>
      </c>
      <c r="AP341" s="2364" t="s">
        <v>62</v>
      </c>
      <c r="AQ341" s="317"/>
      <c r="AR341" s="2443">
        <v>1</v>
      </c>
      <c r="AS341" s="2582" t="s">
        <v>541</v>
      </c>
      <c r="AT341" s="757"/>
      <c r="AU341" s="1263"/>
      <c r="AV341" s="757"/>
      <c r="AW341" s="1263">
        <v>9711.13</v>
      </c>
      <c r="AX341" s="2608">
        <v>46023.62231481481</v>
      </c>
      <c r="AY341" s="2113" t="s">
        <v>62</v>
      </c>
      <c r="AZ341" s="2608">
        <v>46387.64503472222</v>
      </c>
      <c r="BA341" s="2113" t="s">
        <v>62</v>
      </c>
      <c r="BB341" s="1354"/>
      <c r="BC341" s="2259" t="s">
        <v>514</v>
      </c>
      <c r="BD341" s="1648"/>
      <c r="BE341" s="1630"/>
      <c r="BF341" s="1630" t="str">
        <f>IF(T341="","",T341)</f>
        <v>Прокладка трубопроводов водоснабжения в непроходных каналах в изоляции из пенополиуретана (ППУ),с работай на отвале, диаметр труб:</v>
      </c>
      <c r="BG341" s="1630"/>
      <c r="BH341" s="1630"/>
      <c r="BI341" s="1641">
        <v>0</v>
      </c>
    </row>
    <row customHeight="1" ht="14.25">
      <c r="A342" s="1369"/>
      <c r="B342" s="1369"/>
      <c r="C342" s="1369"/>
      <c r="D342" s="1369"/>
      <c r="E342" s="2265"/>
      <c r="F342" s="2265"/>
      <c r="G342" s="2265"/>
      <c r="H342" s="2265"/>
      <c r="I342" s="2292"/>
      <c r="J342" s="2292"/>
      <c r="K342" s="2262" t="str">
        <f>S338&amp;".1"</f>
        <v>.1</v>
      </c>
      <c r="L342" s="1375"/>
      <c r="M342" s="1782"/>
      <c r="N342" s="1782"/>
      <c r="O342" s="1782"/>
      <c r="P342" s="2380"/>
      <c r="Q342" s="2380"/>
      <c r="R342" s="2353">
        <v>1</v>
      </c>
      <c r="S342" s="2347" t="str">
        <f>$K342</f>
        <v>.1</v>
      </c>
      <c r="T342" s="2366"/>
      <c r="U342" s="306"/>
      <c r="V342" s="757"/>
      <c r="W342" s="1263"/>
      <c r="X342" s="757"/>
      <c r="Y342" s="1263"/>
      <c r="Z342" s="2608"/>
      <c r="AA342" s="2113" t="s">
        <v>62</v>
      </c>
      <c r="AB342" s="2608"/>
      <c r="AC342" s="2113" t="s">
        <v>62</v>
      </c>
      <c r="AD342" s="2191" t="s">
        <v>62</v>
      </c>
      <c r="AE342" s="2332"/>
      <c r="AF342" s="2443">
        <v>1</v>
      </c>
      <c r="AG342" s="2369"/>
      <c r="AH342" s="2113" t="s">
        <v>62</v>
      </c>
      <c r="AI342" s="2332"/>
      <c r="AJ342" s="2443">
        <v>1</v>
      </c>
      <c r="AK342" s="2333" t="s">
        <v>28</v>
      </c>
      <c r="AL342" s="2113" t="s">
        <v>62</v>
      </c>
      <c r="AM342" s="2300"/>
      <c r="AN342" s="2443">
        <v>1</v>
      </c>
      <c r="AO342" s="2683" t="s">
        <v>28</v>
      </c>
      <c r="AP342" s="2364" t="s">
        <v>62</v>
      </c>
      <c r="AQ342" s="689" t="s">
        <v>253</v>
      </c>
      <c r="AR342" s="2443" t="s">
        <v>112</v>
      </c>
      <c r="AS342" s="2582" t="s">
        <v>541</v>
      </c>
      <c r="AT342" s="757"/>
      <c r="AU342" s="1263"/>
      <c r="AV342" s="757"/>
      <c r="AW342" s="1263">
        <v>12520.82</v>
      </c>
      <c r="AX342" s="2608">
        <v>46023.62244212963</v>
      </c>
      <c r="AY342" s="2113" t="s">
        <v>62</v>
      </c>
      <c r="AZ342" s="2608">
        <v>46387.64511574074</v>
      </c>
      <c r="BA342" s="2113" t="s">
        <v>62</v>
      </c>
      <c r="BB342" s="1354"/>
      <c r="BC342" s="2259" t="s">
        <v>514</v>
      </c>
      <c r="BD342" s="1648"/>
      <c r="BE342" s="1630"/>
      <c r="BF342" s="1630" t="str">
        <f>IF(T342="","",T342)</f>
        <v/>
      </c>
      <c r="BG342" s="1630"/>
      <c r="BH342" s="1630"/>
      <c r="BI342" s="1641">
        <v>0</v>
      </c>
    </row>
    <row customHeight="1" ht="14.25">
      <c r="A343" s="1369"/>
      <c r="B343" s="1369"/>
      <c r="C343" s="1369"/>
      <c r="D343" s="1369"/>
      <c r="E343" s="2265"/>
      <c r="F343" s="2265"/>
      <c r="G343" s="2265"/>
      <c r="H343" s="2265"/>
      <c r="I343" s="2292"/>
      <c r="J343" s="2292"/>
      <c r="K343" s="2262" t="str">
        <f>S65&amp;".10"</f>
        <v>2.1.1.10</v>
      </c>
      <c r="L343" s="1375"/>
      <c r="M343" s="1782"/>
      <c r="N343" s="1782"/>
      <c r="O343" s="1782"/>
      <c r="P343" s="2380"/>
      <c r="Q343" s="2380"/>
      <c r="R343" s="2353"/>
      <c r="S343" s="2348"/>
      <c r="T343" s="2367"/>
      <c r="U343" s="306"/>
      <c r="V343" s="5977"/>
      <c r="W343" s="5978"/>
      <c r="X343" s="5979"/>
      <c r="Y343" s="5980"/>
      <c r="Z343" s="5981"/>
      <c r="AA343" s="5982"/>
      <c r="AB343" s="5983"/>
      <c r="AC343" s="5984"/>
      <c r="AD343" s="2192"/>
      <c r="AE343" s="2332"/>
      <c r="AF343" s="2443"/>
      <c r="AG343" s="2682" t="s">
        <v>28</v>
      </c>
      <c r="AH343" s="2113"/>
      <c r="AI343" s="2332"/>
      <c r="AJ343" s="2443"/>
      <c r="AK343" s="2333"/>
      <c r="AL343" s="2113"/>
      <c r="AM343" s="2301"/>
      <c r="AN343" s="2443"/>
      <c r="AO343" s="2683" t="s">
        <v>28</v>
      </c>
      <c r="AP343" s="2365"/>
      <c r="AQ343" s="5985"/>
      <c r="AR343" s="5986"/>
      <c r="AS343" s="5987" t="s">
        <v>515</v>
      </c>
      <c r="AT343" s="5988"/>
      <c r="AU343" s="5989"/>
      <c r="AV343" s="5990"/>
      <c r="AW343" s="5991"/>
      <c r="AX343" s="5992"/>
      <c r="AY343" s="5993"/>
      <c r="AZ343" s="5994"/>
      <c r="BA343" s="5995"/>
      <c r="BB343" s="5996"/>
      <c r="BC343" s="2260"/>
      <c r="BD343" s="1648"/>
      <c r="BE343" s="1630"/>
      <c r="BF343" s="1630"/>
      <c r="BG343" s="1630"/>
      <c r="BH343" s="1630"/>
      <c r="BI343" s="1641">
        <v>0</v>
      </c>
    </row>
    <row customHeight="1" ht="14.25">
      <c r="A344" s="1369"/>
      <c r="B344" s="1369"/>
      <c r="C344" s="1369"/>
      <c r="D344" s="1369"/>
      <c r="E344" s="2265"/>
      <c r="F344" s="2265"/>
      <c r="G344" s="2265"/>
      <c r="H344" s="2265"/>
      <c r="I344" s="2292"/>
      <c r="J344" s="2292"/>
      <c r="K344" s="2262" t="str">
        <f>S65&amp;".10"</f>
        <v>2.1.1.10</v>
      </c>
      <c r="L344" s="1375"/>
      <c r="M344" s="1782"/>
      <c r="N344" s="1782"/>
      <c r="O344" s="1782"/>
      <c r="P344" s="2380"/>
      <c r="Q344" s="2380"/>
      <c r="R344" s="2353"/>
      <c r="S344" s="2348"/>
      <c r="T344" s="2367"/>
      <c r="U344" s="306"/>
      <c r="V344" s="5997"/>
      <c r="W344" s="5998"/>
      <c r="X344" s="5999"/>
      <c r="Y344" s="6000"/>
      <c r="Z344" s="6001"/>
      <c r="AA344" s="6002"/>
      <c r="AB344" s="6003"/>
      <c r="AC344" s="6004"/>
      <c r="AD344" s="2192"/>
      <c r="AE344" s="2332"/>
      <c r="AF344" s="2443"/>
      <c r="AG344" s="2682" t="s">
        <v>28</v>
      </c>
      <c r="AH344" s="2113"/>
      <c r="AI344" s="2332"/>
      <c r="AJ344" s="2443"/>
      <c r="AK344" s="2333"/>
      <c r="AL344" s="2113"/>
      <c r="AM344" s="6005"/>
      <c r="AN344" s="6006"/>
      <c r="AO344" s="6007" t="s">
        <v>516</v>
      </c>
      <c r="AP344" s="6008"/>
      <c r="AQ344" s="6009"/>
      <c r="AR344" s="6010"/>
      <c r="AS344" s="6011"/>
      <c r="AT344" s="6012"/>
      <c r="AU344" s="6013"/>
      <c r="AV344" s="6014"/>
      <c r="AW344" s="6015"/>
      <c r="AX344" s="6016"/>
      <c r="AY344" s="6017"/>
      <c r="AZ344" s="6018"/>
      <c r="BA344" s="6019"/>
      <c r="BB344" s="6020"/>
      <c r="BC344" s="2260"/>
      <c r="BD344" s="1648"/>
      <c r="BE344" s="1630"/>
      <c r="BF344" s="1630"/>
      <c r="BG344" s="1630"/>
      <c r="BH344" s="1630"/>
      <c r="BI344" s="1641">
        <v>0</v>
      </c>
    </row>
    <row customHeight="1" ht="14.25">
      <c r="A345" s="1369"/>
      <c r="B345" s="1369"/>
      <c r="C345" s="1369"/>
      <c r="D345" s="1369"/>
      <c r="E345" s="2265"/>
      <c r="F345" s="2265"/>
      <c r="G345" s="2265"/>
      <c r="H345" s="2265"/>
      <c r="I345" s="2292"/>
      <c r="J345" s="2292"/>
      <c r="K345" s="2262" t="str">
        <f>S340&amp;".1"</f>
        <v>.1</v>
      </c>
      <c r="L345" s="1375"/>
      <c r="M345" s="1782"/>
      <c r="N345" s="1782"/>
      <c r="O345" s="1782"/>
      <c r="P345" s="2380"/>
      <c r="Q345" s="2380"/>
      <c r="R345" s="2353">
        <v>1</v>
      </c>
      <c r="S345" s="2347" t="str">
        <f>$K345</f>
        <v>.1</v>
      </c>
      <c r="T345" s="2366"/>
      <c r="U345" s="306"/>
      <c r="V345" s="757"/>
      <c r="W345" s="1263"/>
      <c r="X345" s="757"/>
      <c r="Y345" s="1263"/>
      <c r="Z345" s="2608"/>
      <c r="AA345" s="2113" t="s">
        <v>62</v>
      </c>
      <c r="AB345" s="2608"/>
      <c r="AC345" s="2113" t="s">
        <v>62</v>
      </c>
      <c r="AD345" s="2191" t="s">
        <v>62</v>
      </c>
      <c r="AE345" s="2332"/>
      <c r="AF345" s="2443">
        <v>1</v>
      </c>
      <c r="AG345" s="2369"/>
      <c r="AH345" s="2113" t="s">
        <v>62</v>
      </c>
      <c r="AI345" s="689" t="s">
        <v>253</v>
      </c>
      <c r="AJ345" s="2443" t="s">
        <v>112</v>
      </c>
      <c r="AK345" s="2333" t="s">
        <v>533</v>
      </c>
      <c r="AL345" s="2113" t="s">
        <v>19</v>
      </c>
      <c r="AM345" s="2300"/>
      <c r="AN345" s="2443">
        <v>1</v>
      </c>
      <c r="AO345" s="2683" t="s">
        <v>28</v>
      </c>
      <c r="AP345" s="2364" t="s">
        <v>62</v>
      </c>
      <c r="AQ345" s="317"/>
      <c r="AR345" s="2443">
        <v>1</v>
      </c>
      <c r="AS345" s="2582" t="s">
        <v>541</v>
      </c>
      <c r="AT345" s="757"/>
      <c r="AU345" s="1263"/>
      <c r="AV345" s="757"/>
      <c r="AW345" s="1263">
        <v>17430.99</v>
      </c>
      <c r="AX345" s="2608">
        <v>46023.62248842593</v>
      </c>
      <c r="AY345" s="2113" t="s">
        <v>62</v>
      </c>
      <c r="AZ345" s="2608">
        <v>46387.64519675926</v>
      </c>
      <c r="BA345" s="2113" t="s">
        <v>62</v>
      </c>
      <c r="BB345" s="1354"/>
      <c r="BC345" s="2259" t="s">
        <v>514</v>
      </c>
      <c r="BD345" s="1648"/>
      <c r="BE345" s="1630"/>
      <c r="BF345" s="1630" t="str">
        <f>IF(T345="","",T345)</f>
        <v/>
      </c>
      <c r="BG345" s="1630"/>
      <c r="BH345" s="1630"/>
      <c r="BI345" s="1641">
        <v>0</v>
      </c>
    </row>
    <row customHeight="1" ht="14.25">
      <c r="A346" s="1369"/>
      <c r="B346" s="1369"/>
      <c r="C346" s="1369"/>
      <c r="D346" s="1369"/>
      <c r="E346" s="2265"/>
      <c r="F346" s="2265"/>
      <c r="G346" s="2265"/>
      <c r="H346" s="2265"/>
      <c r="I346" s="2292"/>
      <c r="J346" s="2292"/>
      <c r="K346" s="2262" t="str">
        <f>S342&amp;".1"</f>
        <v>.1.1</v>
      </c>
      <c r="L346" s="1375"/>
      <c r="M346" s="1782"/>
      <c r="N346" s="1782"/>
      <c r="O346" s="1782"/>
      <c r="P346" s="2380"/>
      <c r="Q346" s="2380"/>
      <c r="R346" s="2353">
        <v>1</v>
      </c>
      <c r="S346" s="2347" t="str">
        <f>$K346</f>
        <v>.1.1</v>
      </c>
      <c r="T346" s="2366"/>
      <c r="U346" s="306"/>
      <c r="V346" s="757"/>
      <c r="W346" s="1263"/>
      <c r="X346" s="757"/>
      <c r="Y346" s="1263"/>
      <c r="Z346" s="2608"/>
      <c r="AA346" s="2113" t="s">
        <v>62</v>
      </c>
      <c r="AB346" s="2608"/>
      <c r="AC346" s="2113" t="s">
        <v>62</v>
      </c>
      <c r="AD346" s="2191" t="s">
        <v>62</v>
      </c>
      <c r="AE346" s="2332"/>
      <c r="AF346" s="2443">
        <v>1</v>
      </c>
      <c r="AG346" s="2369"/>
      <c r="AH346" s="2113" t="s">
        <v>62</v>
      </c>
      <c r="AI346" s="2332"/>
      <c r="AJ346" s="2443">
        <v>1</v>
      </c>
      <c r="AK346" s="2333" t="s">
        <v>28</v>
      </c>
      <c r="AL346" s="2113" t="s">
        <v>62</v>
      </c>
      <c r="AM346" s="2300"/>
      <c r="AN346" s="2443">
        <v>1</v>
      </c>
      <c r="AO346" s="2683" t="s">
        <v>28</v>
      </c>
      <c r="AP346" s="2364" t="s">
        <v>62</v>
      </c>
      <c r="AQ346" s="689" t="s">
        <v>253</v>
      </c>
      <c r="AR346" s="2443" t="s">
        <v>112</v>
      </c>
      <c r="AS346" s="2582" t="s">
        <v>541</v>
      </c>
      <c r="AT346" s="757"/>
      <c r="AU346" s="1263"/>
      <c r="AV346" s="757"/>
      <c r="AW346" s="1263">
        <v>21604.56</v>
      </c>
      <c r="AX346" s="2608">
        <v>46023.62252314815</v>
      </c>
      <c r="AY346" s="2113" t="s">
        <v>62</v>
      </c>
      <c r="AZ346" s="2608">
        <v>46387.645266203705</v>
      </c>
      <c r="BA346" s="2113" t="s">
        <v>62</v>
      </c>
      <c r="BB346" s="1354"/>
      <c r="BC346" s="2259" t="s">
        <v>514</v>
      </c>
      <c r="BD346" s="1648"/>
      <c r="BE346" s="1630"/>
      <c r="BF346" s="1630" t="str">
        <f>IF(T346="","",T346)</f>
        <v/>
      </c>
      <c r="BG346" s="1630"/>
      <c r="BH346" s="1630"/>
      <c r="BI346" s="1641">
        <v>0</v>
      </c>
    </row>
    <row customHeight="1" ht="14.25">
      <c r="A347" s="1369"/>
      <c r="B347" s="1369"/>
      <c r="C347" s="1369"/>
      <c r="D347" s="1369"/>
      <c r="E347" s="2265"/>
      <c r="F347" s="2265"/>
      <c r="G347" s="2265"/>
      <c r="H347" s="2265"/>
      <c r="I347" s="2292"/>
      <c r="J347" s="2292"/>
      <c r="K347" s="2262"/>
      <c r="L347" s="1375"/>
      <c r="M347" s="1782"/>
      <c r="N347" s="1782"/>
      <c r="O347" s="1782"/>
      <c r="P347" s="2380"/>
      <c r="Q347" s="2380"/>
      <c r="R347" s="2353"/>
      <c r="S347" s="2348"/>
      <c r="T347" s="2367"/>
      <c r="U347" s="306"/>
      <c r="V347" s="6021"/>
      <c r="W347" s="6022"/>
      <c r="X347" s="6023"/>
      <c r="Y347" s="6024"/>
      <c r="Z347" s="6025"/>
      <c r="AA347" s="6026"/>
      <c r="AB347" s="6027"/>
      <c r="AC347" s="6028"/>
      <c r="AD347" s="2192"/>
      <c r="AE347" s="2332"/>
      <c r="AF347" s="2443"/>
      <c r="AG347" s="2369"/>
      <c r="AH347" s="2113"/>
      <c r="AI347" s="2332"/>
      <c r="AJ347" s="2443">
        <v>1</v>
      </c>
      <c r="AK347" s="2333"/>
      <c r="AL347" s="2113"/>
      <c r="AM347" s="2301"/>
      <c r="AN347" s="2443"/>
      <c r="AO347" s="2683" t="s">
        <v>28</v>
      </c>
      <c r="AP347" s="2365"/>
      <c r="AQ347" s="6029"/>
      <c r="AR347" s="6030"/>
      <c r="AS347" s="6031" t="s">
        <v>515</v>
      </c>
      <c r="AT347" s="6032"/>
      <c r="AU347" s="6033"/>
      <c r="AV347" s="6034"/>
      <c r="AW347" s="6035"/>
      <c r="AX347" s="6036"/>
      <c r="AY347" s="6037"/>
      <c r="AZ347" s="6038"/>
      <c r="BA347" s="6039"/>
      <c r="BB347" s="6040"/>
      <c r="BC347" s="2260"/>
      <c r="BD347" s="1648"/>
      <c r="BE347" s="1630"/>
      <c r="BF347" s="1630"/>
      <c r="BG347" s="1630"/>
      <c r="BH347" s="1630"/>
      <c r="BI347" s="1641">
        <v>0</v>
      </c>
    </row>
    <row customHeight="1" ht="14.25">
      <c r="A348" s="1369"/>
      <c r="B348" s="1369"/>
      <c r="C348" s="1369"/>
      <c r="D348" s="1369"/>
      <c r="E348" s="2265"/>
      <c r="F348" s="2265"/>
      <c r="G348" s="2265"/>
      <c r="H348" s="2265"/>
      <c r="I348" s="2292"/>
      <c r="J348" s="2292"/>
      <c r="K348" s="2262"/>
      <c r="L348" s="1375"/>
      <c r="M348" s="1782"/>
      <c r="N348" s="1782"/>
      <c r="O348" s="1782"/>
      <c r="P348" s="2380"/>
      <c r="Q348" s="2380"/>
      <c r="R348" s="2353"/>
      <c r="S348" s="2348"/>
      <c r="T348" s="2367"/>
      <c r="U348" s="306"/>
      <c r="V348" s="6041"/>
      <c r="W348" s="6042"/>
      <c r="X348" s="6043"/>
      <c r="Y348" s="6044"/>
      <c r="Z348" s="6045"/>
      <c r="AA348" s="6046"/>
      <c r="AB348" s="6047"/>
      <c r="AC348" s="6048"/>
      <c r="AD348" s="2192"/>
      <c r="AE348" s="2332"/>
      <c r="AF348" s="2443"/>
      <c r="AG348" s="2369"/>
      <c r="AH348" s="2113"/>
      <c r="AI348" s="2332"/>
      <c r="AJ348" s="2443">
        <v>1</v>
      </c>
      <c r="AK348" s="2333"/>
      <c r="AL348" s="2113"/>
      <c r="AM348" s="6049"/>
      <c r="AN348" s="6050"/>
      <c r="AO348" s="6051" t="s">
        <v>516</v>
      </c>
      <c r="AP348" s="6052"/>
      <c r="AQ348" s="6053"/>
      <c r="AR348" s="6054"/>
      <c r="AS348" s="6055"/>
      <c r="AT348" s="6056"/>
      <c r="AU348" s="6057"/>
      <c r="AV348" s="6058"/>
      <c r="AW348" s="6059"/>
      <c r="AX348" s="6060"/>
      <c r="AY348" s="6061"/>
      <c r="AZ348" s="6062"/>
      <c r="BA348" s="6063"/>
      <c r="BB348" s="6064"/>
      <c r="BC348" s="2260"/>
      <c r="BD348" s="1648"/>
      <c r="BE348" s="1630"/>
      <c r="BF348" s="1630"/>
      <c r="BG348" s="1630"/>
      <c r="BH348" s="1630"/>
      <c r="BI348" s="1641">
        <v>0</v>
      </c>
    </row>
    <row customHeight="1" ht="14.25">
      <c r="A349" s="1369"/>
      <c r="B349" s="1369"/>
      <c r="C349" s="1369"/>
      <c r="D349" s="1369"/>
      <c r="E349" s="2265"/>
      <c r="F349" s="2265"/>
      <c r="G349" s="2265"/>
      <c r="H349" s="2265"/>
      <c r="I349" s="2292"/>
      <c r="J349" s="2292"/>
      <c r="K349" s="2262" t="str">
        <f>S344&amp;".1"</f>
        <v>.1</v>
      </c>
      <c r="L349" s="1375"/>
      <c r="M349" s="1782"/>
      <c r="N349" s="1782"/>
      <c r="O349" s="1782"/>
      <c r="P349" s="2380"/>
      <c r="Q349" s="2380"/>
      <c r="R349" s="2353">
        <v>1</v>
      </c>
      <c r="S349" s="2347" t="str">
        <f>$K349</f>
        <v>.1</v>
      </c>
      <c r="T349" s="2366"/>
      <c r="U349" s="306"/>
      <c r="V349" s="757"/>
      <c r="W349" s="1263"/>
      <c r="X349" s="757"/>
      <c r="Y349" s="1263"/>
      <c r="Z349" s="2608"/>
      <c r="AA349" s="2113" t="s">
        <v>62</v>
      </c>
      <c r="AB349" s="2608"/>
      <c r="AC349" s="2113" t="s">
        <v>62</v>
      </c>
      <c r="AD349" s="2191" t="s">
        <v>62</v>
      </c>
      <c r="AE349" s="2332"/>
      <c r="AF349" s="2443">
        <v>1</v>
      </c>
      <c r="AG349" s="2369"/>
      <c r="AH349" s="2113" t="s">
        <v>62</v>
      </c>
      <c r="AI349" s="689" t="s">
        <v>253</v>
      </c>
      <c r="AJ349" s="2443" t="s">
        <v>91</v>
      </c>
      <c r="AK349" s="2333" t="s">
        <v>534</v>
      </c>
      <c r="AL349" s="2113" t="s">
        <v>19</v>
      </c>
      <c r="AM349" s="2300"/>
      <c r="AN349" s="2443">
        <v>1</v>
      </c>
      <c r="AO349" s="2683" t="s">
        <v>28</v>
      </c>
      <c r="AP349" s="2364" t="s">
        <v>62</v>
      </c>
      <c r="AQ349" s="317"/>
      <c r="AR349" s="2443">
        <v>1</v>
      </c>
      <c r="AS349" s="2582" t="s">
        <v>541</v>
      </c>
      <c r="AT349" s="757"/>
      <c r="AU349" s="1263"/>
      <c r="AV349" s="757"/>
      <c r="AW349" s="1263">
        <v>24550.67</v>
      </c>
      <c r="AX349" s="2608">
        <v>46023.622569444444</v>
      </c>
      <c r="AY349" s="2113" t="s">
        <v>62</v>
      </c>
      <c r="AZ349" s="2608">
        <v>46387.64533564815</v>
      </c>
      <c r="BA349" s="2113" t="s">
        <v>62</v>
      </c>
      <c r="BB349" s="1354"/>
      <c r="BC349" s="2259" t="s">
        <v>514</v>
      </c>
      <c r="BD349" s="1648"/>
      <c r="BE349" s="1630"/>
      <c r="BF349" s="1630" t="str">
        <f>IF(T349="","",T349)</f>
        <v/>
      </c>
      <c r="BG349" s="1630"/>
      <c r="BH349" s="1630"/>
      <c r="BI349" s="1641">
        <v>0</v>
      </c>
    </row>
    <row customHeight="1" ht="14.25">
      <c r="A350" s="1369"/>
      <c r="B350" s="1369"/>
      <c r="C350" s="1369"/>
      <c r="D350" s="1369"/>
      <c r="E350" s="2265"/>
      <c r="F350" s="2265"/>
      <c r="G350" s="2265"/>
      <c r="H350" s="2265"/>
      <c r="I350" s="2292"/>
      <c r="J350" s="2292"/>
      <c r="K350" s="2262" t="str">
        <f>S346&amp;".1"</f>
        <v>.1.1.1</v>
      </c>
      <c r="L350" s="1375"/>
      <c r="M350" s="1782"/>
      <c r="N350" s="1782"/>
      <c r="O350" s="1782"/>
      <c r="P350" s="2380"/>
      <c r="Q350" s="2380"/>
      <c r="R350" s="2353">
        <v>1</v>
      </c>
      <c r="S350" s="2347" t="str">
        <f>$K350</f>
        <v>.1.1.1</v>
      </c>
      <c r="T350" s="2366"/>
      <c r="U350" s="306"/>
      <c r="V350" s="757"/>
      <c r="W350" s="1263"/>
      <c r="X350" s="757"/>
      <c r="Y350" s="1263"/>
      <c r="Z350" s="2608"/>
      <c r="AA350" s="2113" t="s">
        <v>62</v>
      </c>
      <c r="AB350" s="2608"/>
      <c r="AC350" s="2113" t="s">
        <v>62</v>
      </c>
      <c r="AD350" s="2191" t="s">
        <v>62</v>
      </c>
      <c r="AE350" s="2332"/>
      <c r="AF350" s="2443">
        <v>1</v>
      </c>
      <c r="AG350" s="2369"/>
      <c r="AH350" s="2113" t="s">
        <v>62</v>
      </c>
      <c r="AI350" s="2332"/>
      <c r="AJ350" s="2443">
        <v>1</v>
      </c>
      <c r="AK350" s="2333" t="s">
        <v>28</v>
      </c>
      <c r="AL350" s="2113" t="s">
        <v>62</v>
      </c>
      <c r="AM350" s="2300"/>
      <c r="AN350" s="2443">
        <v>1</v>
      </c>
      <c r="AO350" s="2683" t="s">
        <v>28</v>
      </c>
      <c r="AP350" s="2364" t="s">
        <v>62</v>
      </c>
      <c r="AQ350" s="689" t="s">
        <v>253</v>
      </c>
      <c r="AR350" s="2443" t="s">
        <v>112</v>
      </c>
      <c r="AS350" s="2582" t="s">
        <v>541</v>
      </c>
      <c r="AT350" s="757"/>
      <c r="AU350" s="1263"/>
      <c r="AV350" s="757"/>
      <c r="AW350" s="1263">
        <v>25391.47</v>
      </c>
      <c r="AX350" s="2608">
        <v>46023.62260416667</v>
      </c>
      <c r="AY350" s="2113" t="s">
        <v>62</v>
      </c>
      <c r="AZ350" s="2608">
        <v>46387.64543981481</v>
      </c>
      <c r="BA350" s="2113" t="s">
        <v>62</v>
      </c>
      <c r="BB350" s="1354"/>
      <c r="BC350" s="2259" t="s">
        <v>514</v>
      </c>
      <c r="BD350" s="1648"/>
      <c r="BE350" s="1630"/>
      <c r="BF350" s="1630" t="str">
        <f>IF(T350="","",T350)</f>
        <v/>
      </c>
      <c r="BG350" s="1630"/>
      <c r="BH350" s="1630"/>
      <c r="BI350" s="1641">
        <v>0</v>
      </c>
    </row>
    <row customHeight="1" ht="14.25">
      <c r="A351" s="1369"/>
      <c r="B351" s="1369"/>
      <c r="C351" s="1369"/>
      <c r="D351" s="1369"/>
      <c r="E351" s="2265"/>
      <c r="F351" s="2265"/>
      <c r="G351" s="2265"/>
      <c r="H351" s="2265"/>
      <c r="I351" s="2292"/>
      <c r="J351" s="2292"/>
      <c r="K351" s="2262"/>
      <c r="L351" s="1375"/>
      <c r="M351" s="1782"/>
      <c r="N351" s="1782"/>
      <c r="O351" s="1782"/>
      <c r="P351" s="2380"/>
      <c r="Q351" s="2380"/>
      <c r="R351" s="2353"/>
      <c r="S351" s="2348"/>
      <c r="T351" s="2367"/>
      <c r="U351" s="306"/>
      <c r="V351" s="6065"/>
      <c r="W351" s="6066"/>
      <c r="X351" s="6067"/>
      <c r="Y351" s="6068"/>
      <c r="Z351" s="6069"/>
      <c r="AA351" s="6070"/>
      <c r="AB351" s="6071"/>
      <c r="AC351" s="6072"/>
      <c r="AD351" s="2192"/>
      <c r="AE351" s="2332"/>
      <c r="AF351" s="2443"/>
      <c r="AG351" s="2369"/>
      <c r="AH351" s="2113"/>
      <c r="AI351" s="2332"/>
      <c r="AJ351" s="2443" t="s">
        <v>112</v>
      </c>
      <c r="AK351" s="2333"/>
      <c r="AL351" s="2113"/>
      <c r="AM351" s="2301"/>
      <c r="AN351" s="2443"/>
      <c r="AO351" s="2683" t="s">
        <v>28</v>
      </c>
      <c r="AP351" s="2365"/>
      <c r="AQ351" s="6073"/>
      <c r="AR351" s="6074"/>
      <c r="AS351" s="6075" t="s">
        <v>515</v>
      </c>
      <c r="AT351" s="6076"/>
      <c r="AU351" s="6077"/>
      <c r="AV351" s="6078"/>
      <c r="AW351" s="6079"/>
      <c r="AX351" s="6080"/>
      <c r="AY351" s="6081"/>
      <c r="AZ351" s="6082"/>
      <c r="BA351" s="6083"/>
      <c r="BB351" s="6084"/>
      <c r="BC351" s="2260"/>
      <c r="BD351" s="1648"/>
      <c r="BE351" s="1630"/>
      <c r="BF351" s="1630"/>
      <c r="BG351" s="1630"/>
      <c r="BH351" s="1630"/>
      <c r="BI351" s="1641">
        <v>0</v>
      </c>
    </row>
    <row customHeight="1" ht="14.25">
      <c r="A352" s="1369"/>
      <c r="B352" s="1369"/>
      <c r="C352" s="1369"/>
      <c r="D352" s="1369"/>
      <c r="E352" s="2265"/>
      <c r="F352" s="2265"/>
      <c r="G352" s="2265"/>
      <c r="H352" s="2265"/>
      <c r="I352" s="2292"/>
      <c r="J352" s="2292"/>
      <c r="K352" s="2262"/>
      <c r="L352" s="1375"/>
      <c r="M352" s="1782"/>
      <c r="N352" s="1782"/>
      <c r="O352" s="1782"/>
      <c r="P352" s="2380"/>
      <c r="Q352" s="2380"/>
      <c r="R352" s="2353"/>
      <c r="S352" s="2348"/>
      <c r="T352" s="2367"/>
      <c r="U352" s="306"/>
      <c r="V352" s="6085"/>
      <c r="W352" s="6086"/>
      <c r="X352" s="6087"/>
      <c r="Y352" s="6088"/>
      <c r="Z352" s="6089"/>
      <c r="AA352" s="6090"/>
      <c r="AB352" s="6091"/>
      <c r="AC352" s="6092"/>
      <c r="AD352" s="2192"/>
      <c r="AE352" s="2332"/>
      <c r="AF352" s="2443"/>
      <c r="AG352" s="2369"/>
      <c r="AH352" s="2113"/>
      <c r="AI352" s="2332"/>
      <c r="AJ352" s="2443" t="s">
        <v>112</v>
      </c>
      <c r="AK352" s="2333"/>
      <c r="AL352" s="2113"/>
      <c r="AM352" s="6093"/>
      <c r="AN352" s="6094"/>
      <c r="AO352" s="6095" t="s">
        <v>516</v>
      </c>
      <c r="AP352" s="6096"/>
      <c r="AQ352" s="6097"/>
      <c r="AR352" s="6098"/>
      <c r="AS352" s="6099"/>
      <c r="AT352" s="6100"/>
      <c r="AU352" s="6101"/>
      <c r="AV352" s="6102"/>
      <c r="AW352" s="6103"/>
      <c r="AX352" s="6104"/>
      <c r="AY352" s="6105"/>
      <c r="AZ352" s="6106"/>
      <c r="BA352" s="6107"/>
      <c r="BB352" s="6108"/>
      <c r="BC352" s="2260"/>
      <c r="BD352" s="1648"/>
      <c r="BE352" s="1630"/>
      <c r="BF352" s="1630"/>
      <c r="BG352" s="1630"/>
      <c r="BH352" s="1630"/>
      <c r="BI352" s="1641">
        <v>0</v>
      </c>
    </row>
    <row customHeight="1" ht="14.25">
      <c r="A353" s="1369"/>
      <c r="B353" s="1369"/>
      <c r="C353" s="1369"/>
      <c r="D353" s="1369"/>
      <c r="E353" s="2265"/>
      <c r="F353" s="2265"/>
      <c r="G353" s="2265"/>
      <c r="H353" s="2265"/>
      <c r="I353" s="2292"/>
      <c r="J353" s="2292"/>
      <c r="K353" s="2262" t="str">
        <f>S348&amp;".1"</f>
        <v>.1</v>
      </c>
      <c r="L353" s="1375"/>
      <c r="M353" s="1782"/>
      <c r="N353" s="1782"/>
      <c r="O353" s="1782"/>
      <c r="P353" s="2380"/>
      <c r="Q353" s="2380"/>
      <c r="R353" s="2353">
        <v>1</v>
      </c>
      <c r="S353" s="2347" t="str">
        <f>$K353</f>
        <v>.1</v>
      </c>
      <c r="T353" s="2366"/>
      <c r="U353" s="306"/>
      <c r="V353" s="757"/>
      <c r="W353" s="1263"/>
      <c r="X353" s="757"/>
      <c r="Y353" s="1263"/>
      <c r="Z353" s="2608"/>
      <c r="AA353" s="2113" t="s">
        <v>62</v>
      </c>
      <c r="AB353" s="2608"/>
      <c r="AC353" s="2113" t="s">
        <v>62</v>
      </c>
      <c r="AD353" s="2191" t="s">
        <v>62</v>
      </c>
      <c r="AE353" s="2332"/>
      <c r="AF353" s="2443">
        <v>1</v>
      </c>
      <c r="AG353" s="2369"/>
      <c r="AH353" s="2113" t="s">
        <v>62</v>
      </c>
      <c r="AI353" s="689" t="s">
        <v>253</v>
      </c>
      <c r="AJ353" s="2443" t="s">
        <v>92</v>
      </c>
      <c r="AK353" s="2333" t="s">
        <v>535</v>
      </c>
      <c r="AL353" s="2113" t="s">
        <v>19</v>
      </c>
      <c r="AM353" s="2300"/>
      <c r="AN353" s="2443">
        <v>1</v>
      </c>
      <c r="AO353" s="2683" t="s">
        <v>28</v>
      </c>
      <c r="AP353" s="2364" t="s">
        <v>62</v>
      </c>
      <c r="AQ353" s="317"/>
      <c r="AR353" s="2443">
        <v>1</v>
      </c>
      <c r="AS353" s="2582" t="s">
        <v>541</v>
      </c>
      <c r="AT353" s="757"/>
      <c r="AU353" s="1263"/>
      <c r="AV353" s="757"/>
      <c r="AW353" s="1263">
        <v>32202.27</v>
      </c>
      <c r="AX353" s="2608">
        <v>46023.62263888889</v>
      </c>
      <c r="AY353" s="2113" t="s">
        <v>62</v>
      </c>
      <c r="AZ353" s="2608">
        <v>46387.645532407405</v>
      </c>
      <c r="BA353" s="2113" t="s">
        <v>62</v>
      </c>
      <c r="BB353" s="1354"/>
      <c r="BC353" s="2259" t="s">
        <v>514</v>
      </c>
      <c r="BD353" s="1648"/>
      <c r="BE353" s="1630"/>
      <c r="BF353" s="1630" t="str">
        <f>IF(T353="","",T353)</f>
        <v/>
      </c>
      <c r="BG353" s="1630"/>
      <c r="BH353" s="1630"/>
      <c r="BI353" s="1641">
        <v>0</v>
      </c>
    </row>
    <row customHeight="1" ht="14.25">
      <c r="A354" s="1369"/>
      <c r="B354" s="1369"/>
      <c r="C354" s="1369"/>
      <c r="D354" s="1369"/>
      <c r="E354" s="2265"/>
      <c r="F354" s="2265"/>
      <c r="G354" s="2265"/>
      <c r="H354" s="2265"/>
      <c r="I354" s="2292"/>
      <c r="J354" s="2292"/>
      <c r="K354" s="2262" t="str">
        <f>S350&amp;".1"</f>
        <v>.1.1.1.1</v>
      </c>
      <c r="L354" s="1375"/>
      <c r="M354" s="1782"/>
      <c r="N354" s="1782"/>
      <c r="O354" s="1782"/>
      <c r="P354" s="2380"/>
      <c r="Q354" s="2380"/>
      <c r="R354" s="2353">
        <v>1</v>
      </c>
      <c r="S354" s="2347" t="str">
        <f>$K354</f>
        <v>.1.1.1.1</v>
      </c>
      <c r="T354" s="2366"/>
      <c r="U354" s="306"/>
      <c r="V354" s="757"/>
      <c r="W354" s="1263"/>
      <c r="X354" s="757"/>
      <c r="Y354" s="1263"/>
      <c r="Z354" s="2608"/>
      <c r="AA354" s="2113" t="s">
        <v>62</v>
      </c>
      <c r="AB354" s="2608"/>
      <c r="AC354" s="2113" t="s">
        <v>62</v>
      </c>
      <c r="AD354" s="2191" t="s">
        <v>62</v>
      </c>
      <c r="AE354" s="2332"/>
      <c r="AF354" s="2443">
        <v>1</v>
      </c>
      <c r="AG354" s="2369"/>
      <c r="AH354" s="2113" t="s">
        <v>62</v>
      </c>
      <c r="AI354" s="2332"/>
      <c r="AJ354" s="2443">
        <v>1</v>
      </c>
      <c r="AK354" s="2333" t="s">
        <v>28</v>
      </c>
      <c r="AL354" s="2113" t="s">
        <v>62</v>
      </c>
      <c r="AM354" s="2300"/>
      <c r="AN354" s="2443">
        <v>1</v>
      </c>
      <c r="AO354" s="2683" t="s">
        <v>28</v>
      </c>
      <c r="AP354" s="2364" t="s">
        <v>62</v>
      </c>
      <c r="AQ354" s="689" t="s">
        <v>253</v>
      </c>
      <c r="AR354" s="2443" t="s">
        <v>112</v>
      </c>
      <c r="AS354" s="2582" t="s">
        <v>541</v>
      </c>
      <c r="AT354" s="757"/>
      <c r="AU354" s="1263"/>
      <c r="AV354" s="757"/>
      <c r="AW354" s="1263">
        <v>34439.73</v>
      </c>
      <c r="AX354" s="2608">
        <v>46023.622662037036</v>
      </c>
      <c r="AY354" s="2113" t="s">
        <v>62</v>
      </c>
      <c r="AZ354" s="2608">
        <v>46387.64561342593</v>
      </c>
      <c r="BA354" s="2113" t="s">
        <v>62</v>
      </c>
      <c r="BB354" s="1354"/>
      <c r="BC354" s="2259" t="s">
        <v>514</v>
      </c>
      <c r="BD354" s="1648"/>
      <c r="BE354" s="1630"/>
      <c r="BF354" s="1630" t="str">
        <f>IF(T354="","",T354)</f>
        <v/>
      </c>
      <c r="BG354" s="1630"/>
      <c r="BH354" s="1630"/>
      <c r="BI354" s="1641">
        <v>0</v>
      </c>
    </row>
    <row customHeight="1" ht="14.25">
      <c r="A355" s="1369"/>
      <c r="B355" s="1369"/>
      <c r="C355" s="1369"/>
      <c r="D355" s="1369"/>
      <c r="E355" s="2265"/>
      <c r="F355" s="2265"/>
      <c r="G355" s="2265"/>
      <c r="H355" s="2265"/>
      <c r="I355" s="2292"/>
      <c r="J355" s="2292"/>
      <c r="K355" s="2262"/>
      <c r="L355" s="1375"/>
      <c r="M355" s="1782"/>
      <c r="N355" s="1782"/>
      <c r="O355" s="1782"/>
      <c r="P355" s="2380"/>
      <c r="Q355" s="2380"/>
      <c r="R355" s="2353"/>
      <c r="S355" s="2348"/>
      <c r="T355" s="2367"/>
      <c r="U355" s="306"/>
      <c r="V355" s="6109"/>
      <c r="W355" s="6110"/>
      <c r="X355" s="6111"/>
      <c r="Y355" s="6112"/>
      <c r="Z355" s="6113"/>
      <c r="AA355" s="6114"/>
      <c r="AB355" s="6115"/>
      <c r="AC355" s="6116"/>
      <c r="AD355" s="2192"/>
      <c r="AE355" s="2332"/>
      <c r="AF355" s="2443"/>
      <c r="AG355" s="2369"/>
      <c r="AH355" s="2113"/>
      <c r="AI355" s="2332"/>
      <c r="AJ355" s="2443" t="s">
        <v>91</v>
      </c>
      <c r="AK355" s="2333"/>
      <c r="AL355" s="2113"/>
      <c r="AM355" s="2301"/>
      <c r="AN355" s="2443"/>
      <c r="AO355" s="2683" t="s">
        <v>28</v>
      </c>
      <c r="AP355" s="2365"/>
      <c r="AQ355" s="6117"/>
      <c r="AR355" s="6118"/>
      <c r="AS355" s="6119" t="s">
        <v>515</v>
      </c>
      <c r="AT355" s="6120"/>
      <c r="AU355" s="6121"/>
      <c r="AV355" s="6122"/>
      <c r="AW355" s="6123"/>
      <c r="AX355" s="6124"/>
      <c r="AY355" s="6125"/>
      <c r="AZ355" s="6126"/>
      <c r="BA355" s="6127"/>
      <c r="BB355" s="6128"/>
      <c r="BC355" s="2260"/>
      <c r="BD355" s="1648"/>
      <c r="BE355" s="1630"/>
      <c r="BF355" s="1630"/>
      <c r="BG355" s="1630"/>
      <c r="BH355" s="1630"/>
      <c r="BI355" s="1641">
        <v>0</v>
      </c>
    </row>
    <row customHeight="1" ht="14.25">
      <c r="A356" s="1369"/>
      <c r="B356" s="1369"/>
      <c r="C356" s="1369"/>
      <c r="D356" s="1369"/>
      <c r="E356" s="2265"/>
      <c r="F356" s="2265"/>
      <c r="G356" s="2265"/>
      <c r="H356" s="2265"/>
      <c r="I356" s="2292"/>
      <c r="J356" s="2292"/>
      <c r="K356" s="2262"/>
      <c r="L356" s="1375"/>
      <c r="M356" s="1782"/>
      <c r="N356" s="1782"/>
      <c r="O356" s="1782"/>
      <c r="P356" s="2380"/>
      <c r="Q356" s="2380"/>
      <c r="R356" s="2353"/>
      <c r="S356" s="2348"/>
      <c r="T356" s="2367"/>
      <c r="U356" s="306"/>
      <c r="V356" s="6129"/>
      <c r="W356" s="6130"/>
      <c r="X356" s="6131"/>
      <c r="Y356" s="6132"/>
      <c r="Z356" s="6133"/>
      <c r="AA356" s="6134"/>
      <c r="AB356" s="6135"/>
      <c r="AC356" s="6136"/>
      <c r="AD356" s="2192"/>
      <c r="AE356" s="2332"/>
      <c r="AF356" s="2443"/>
      <c r="AG356" s="2369"/>
      <c r="AH356" s="2113"/>
      <c r="AI356" s="2332"/>
      <c r="AJ356" s="2443" t="s">
        <v>91</v>
      </c>
      <c r="AK356" s="2333"/>
      <c r="AL356" s="2113"/>
      <c r="AM356" s="6137"/>
      <c r="AN356" s="6138"/>
      <c r="AO356" s="6139" t="s">
        <v>516</v>
      </c>
      <c r="AP356" s="6140"/>
      <c r="AQ356" s="6141"/>
      <c r="AR356" s="6142"/>
      <c r="AS356" s="6143"/>
      <c r="AT356" s="6144"/>
      <c r="AU356" s="6145"/>
      <c r="AV356" s="6146"/>
      <c r="AW356" s="6147"/>
      <c r="AX356" s="6148"/>
      <c r="AY356" s="6149"/>
      <c r="AZ356" s="6150"/>
      <c r="BA356" s="6151"/>
      <c r="BB356" s="6152"/>
      <c r="BC356" s="2260"/>
      <c r="BD356" s="1648"/>
      <c r="BE356" s="1630"/>
      <c r="BF356" s="1630"/>
      <c r="BG356" s="1630"/>
      <c r="BH356" s="1630"/>
      <c r="BI356" s="1641">
        <v>0</v>
      </c>
    </row>
    <row customHeight="1" ht="14.25">
      <c r="A357" s="1369"/>
      <c r="B357" s="1369"/>
      <c r="C357" s="1369"/>
      <c r="D357" s="1369"/>
      <c r="E357" s="2265"/>
      <c r="F357" s="2265"/>
      <c r="G357" s="2265"/>
      <c r="H357" s="2265"/>
      <c r="I357" s="2292"/>
      <c r="J357" s="2292"/>
      <c r="K357" s="2262" t="str">
        <f>S352&amp;".1"</f>
        <v>.1</v>
      </c>
      <c r="L357" s="1375"/>
      <c r="M357" s="1782"/>
      <c r="N357" s="1782"/>
      <c r="O357" s="1782"/>
      <c r="P357" s="2380"/>
      <c r="Q357" s="2380"/>
      <c r="R357" s="2353">
        <v>1</v>
      </c>
      <c r="S357" s="2347" t="str">
        <f>$K357</f>
        <v>.1</v>
      </c>
      <c r="T357" s="2366"/>
      <c r="U357" s="306"/>
      <c r="V357" s="757"/>
      <c r="W357" s="1263"/>
      <c r="X357" s="757"/>
      <c r="Y357" s="1263"/>
      <c r="Z357" s="2608"/>
      <c r="AA357" s="2113" t="s">
        <v>62</v>
      </c>
      <c r="AB357" s="2608"/>
      <c r="AC357" s="2113" t="s">
        <v>62</v>
      </c>
      <c r="AD357" s="2191" t="s">
        <v>62</v>
      </c>
      <c r="AE357" s="2332"/>
      <c r="AF357" s="2443">
        <v>1</v>
      </c>
      <c r="AG357" s="2369"/>
      <c r="AH357" s="2113" t="s">
        <v>62</v>
      </c>
      <c r="AI357" s="689" t="s">
        <v>253</v>
      </c>
      <c r="AJ357" s="2443" t="s">
        <v>113</v>
      </c>
      <c r="AK357" s="2333" t="s">
        <v>536</v>
      </c>
      <c r="AL357" s="2113" t="s">
        <v>19</v>
      </c>
      <c r="AM357" s="2300"/>
      <c r="AN357" s="2443">
        <v>1</v>
      </c>
      <c r="AO357" s="2683" t="s">
        <v>28</v>
      </c>
      <c r="AP357" s="2364" t="s">
        <v>62</v>
      </c>
      <c r="AQ357" s="317"/>
      <c r="AR357" s="2443">
        <v>1</v>
      </c>
      <c r="AS357" s="2582" t="s">
        <v>541</v>
      </c>
      <c r="AT357" s="757"/>
      <c r="AU357" s="1263"/>
      <c r="AV357" s="757"/>
      <c r="AW357" s="1263">
        <v>38392.04</v>
      </c>
      <c r="AX357" s="2608">
        <v>46023.62269675926</v>
      </c>
      <c r="AY357" s="2113" t="s">
        <v>62</v>
      </c>
      <c r="AZ357" s="2608">
        <v>46387.645682870374</v>
      </c>
      <c r="BA357" s="2113" t="s">
        <v>62</v>
      </c>
      <c r="BB357" s="1354"/>
      <c r="BC357" s="2259" t="s">
        <v>514</v>
      </c>
      <c r="BD357" s="1648"/>
      <c r="BE357" s="1630"/>
      <c r="BF357" s="1630" t="str">
        <f>IF(T357="","",T357)</f>
        <v/>
      </c>
      <c r="BG357" s="1630"/>
      <c r="BH357" s="1630"/>
      <c r="BI357" s="1641">
        <v>0</v>
      </c>
    </row>
    <row customHeight="1" ht="14.25">
      <c r="A358" s="1369"/>
      <c r="B358" s="1369"/>
      <c r="C358" s="1369"/>
      <c r="D358" s="1369"/>
      <c r="E358" s="2265"/>
      <c r="F358" s="2265"/>
      <c r="G358" s="2265"/>
      <c r="H358" s="2265"/>
      <c r="I358" s="2292"/>
      <c r="J358" s="2292"/>
      <c r="K358" s="2262"/>
      <c r="L358" s="1375"/>
      <c r="M358" s="1782"/>
      <c r="N358" s="1782"/>
      <c r="O358" s="1782"/>
      <c r="P358" s="2380"/>
      <c r="Q358" s="2380"/>
      <c r="R358" s="2353"/>
      <c r="S358" s="2348"/>
      <c r="T358" s="2367"/>
      <c r="U358" s="306"/>
      <c r="V358" s="6153"/>
      <c r="W358" s="6154"/>
      <c r="X358" s="6155"/>
      <c r="Y358" s="6156"/>
      <c r="Z358" s="6157"/>
      <c r="AA358" s="6158"/>
      <c r="AB358" s="6159"/>
      <c r="AC358" s="6160"/>
      <c r="AD358" s="2192"/>
      <c r="AE358" s="2332"/>
      <c r="AF358" s="2443"/>
      <c r="AG358" s="2369"/>
      <c r="AH358" s="2113"/>
      <c r="AI358" s="2332"/>
      <c r="AJ358" s="2443" t="s">
        <v>92</v>
      </c>
      <c r="AK358" s="2333"/>
      <c r="AL358" s="2113"/>
      <c r="AM358" s="2301"/>
      <c r="AN358" s="2443"/>
      <c r="AO358" s="2683" t="s">
        <v>28</v>
      </c>
      <c r="AP358" s="2365"/>
      <c r="AQ358" s="6161"/>
      <c r="AR358" s="6162"/>
      <c r="AS358" s="6163" t="s">
        <v>515</v>
      </c>
      <c r="AT358" s="6164"/>
      <c r="AU358" s="6165"/>
      <c r="AV358" s="6166"/>
      <c r="AW358" s="6167"/>
      <c r="AX358" s="6168"/>
      <c r="AY358" s="6169"/>
      <c r="AZ358" s="6170"/>
      <c r="BA358" s="6171"/>
      <c r="BB358" s="6172"/>
      <c r="BC358" s="2260"/>
      <c r="BD358" s="1648"/>
      <c r="BE358" s="1630"/>
      <c r="BF358" s="1630"/>
      <c r="BG358" s="1630"/>
      <c r="BH358" s="1630"/>
      <c r="BI358" s="1641">
        <v>0</v>
      </c>
    </row>
    <row customHeight="1" ht="14.25">
      <c r="A359" s="1369"/>
      <c r="B359" s="1369"/>
      <c r="C359" s="1369"/>
      <c r="D359" s="1369"/>
      <c r="E359" s="2265"/>
      <c r="F359" s="2265"/>
      <c r="G359" s="2265"/>
      <c r="H359" s="2265"/>
      <c r="I359" s="2292"/>
      <c r="J359" s="2292"/>
      <c r="K359" s="2262"/>
      <c r="L359" s="1375"/>
      <c r="M359" s="1782"/>
      <c r="N359" s="1782"/>
      <c r="O359" s="1782"/>
      <c r="P359" s="2380"/>
      <c r="Q359" s="2380"/>
      <c r="R359" s="2353"/>
      <c r="S359" s="2348"/>
      <c r="T359" s="2367"/>
      <c r="U359" s="306"/>
      <c r="V359" s="6173"/>
      <c r="W359" s="6174"/>
      <c r="X359" s="6175"/>
      <c r="Y359" s="6176"/>
      <c r="Z359" s="6177"/>
      <c r="AA359" s="6178"/>
      <c r="AB359" s="6179"/>
      <c r="AC359" s="6180"/>
      <c r="AD359" s="2192"/>
      <c r="AE359" s="2332"/>
      <c r="AF359" s="2443"/>
      <c r="AG359" s="2369"/>
      <c r="AH359" s="2113"/>
      <c r="AI359" s="2332"/>
      <c r="AJ359" s="2443" t="s">
        <v>92</v>
      </c>
      <c r="AK359" s="2333"/>
      <c r="AL359" s="2113"/>
      <c r="AM359" s="6181"/>
      <c r="AN359" s="6182"/>
      <c r="AO359" s="6183" t="s">
        <v>516</v>
      </c>
      <c r="AP359" s="6184"/>
      <c r="AQ359" s="6185"/>
      <c r="AR359" s="6186"/>
      <c r="AS359" s="6187"/>
      <c r="AT359" s="6188"/>
      <c r="AU359" s="6189"/>
      <c r="AV359" s="6190"/>
      <c r="AW359" s="6191"/>
      <c r="AX359" s="6192"/>
      <c r="AY359" s="6193"/>
      <c r="AZ359" s="6194"/>
      <c r="BA359" s="6195"/>
      <c r="BB359" s="6196"/>
      <c r="BC359" s="2260"/>
      <c r="BD359" s="1648"/>
      <c r="BE359" s="1630"/>
      <c r="BF359" s="1630"/>
      <c r="BG359" s="1630"/>
      <c r="BH359" s="1630"/>
      <c r="BI359" s="1641">
        <v>0</v>
      </c>
    </row>
    <row customHeight="1" ht="14.25">
      <c r="A360" s="1369"/>
      <c r="B360" s="1369"/>
      <c r="C360" s="1369"/>
      <c r="D360" s="1369"/>
      <c r="E360" s="2265"/>
      <c r="F360" s="2265"/>
      <c r="G360" s="2265"/>
      <c r="H360" s="2265"/>
      <c r="I360" s="2292"/>
      <c r="J360" s="2292"/>
      <c r="K360" s="2262" t="str">
        <f>S356&amp;".1"</f>
        <v>.1</v>
      </c>
      <c r="L360" s="1375"/>
      <c r="M360" s="1782"/>
      <c r="N360" s="1782"/>
      <c r="O360" s="1782"/>
      <c r="P360" s="2380"/>
      <c r="Q360" s="2380"/>
      <c r="R360" s="2353">
        <v>1</v>
      </c>
      <c r="S360" s="2347" t="str">
        <f>$K360</f>
        <v>.1</v>
      </c>
      <c r="T360" s="2366"/>
      <c r="U360" s="306"/>
      <c r="V360" s="757"/>
      <c r="W360" s="1263"/>
      <c r="X360" s="757"/>
      <c r="Y360" s="1263"/>
      <c r="Z360" s="2608"/>
      <c r="AA360" s="2113" t="s">
        <v>62</v>
      </c>
      <c r="AB360" s="2608"/>
      <c r="AC360" s="2113" t="s">
        <v>62</v>
      </c>
      <c r="AD360" s="2191" t="s">
        <v>62</v>
      </c>
      <c r="AE360" s="2332"/>
      <c r="AF360" s="2443">
        <v>1</v>
      </c>
      <c r="AG360" s="2369"/>
      <c r="AH360" s="2113" t="s">
        <v>62</v>
      </c>
      <c r="AI360" s="689" t="s">
        <v>253</v>
      </c>
      <c r="AJ360" s="2443" t="s">
        <v>93</v>
      </c>
      <c r="AK360" s="2333" t="s">
        <v>537</v>
      </c>
      <c r="AL360" s="2113" t="s">
        <v>19</v>
      </c>
      <c r="AM360" s="2300"/>
      <c r="AN360" s="2443">
        <v>1</v>
      </c>
      <c r="AO360" s="2683" t="s">
        <v>28</v>
      </c>
      <c r="AP360" s="2364" t="s">
        <v>62</v>
      </c>
      <c r="AQ360" s="317"/>
      <c r="AR360" s="2443">
        <v>1</v>
      </c>
      <c r="AS360" s="2582" t="s">
        <v>541</v>
      </c>
      <c r="AT360" s="757"/>
      <c r="AU360" s="1263"/>
      <c r="AV360" s="757"/>
      <c r="AW360" s="1263">
        <v>53725.7</v>
      </c>
      <c r="AX360" s="2608">
        <v>46023.62273148148</v>
      </c>
      <c r="AY360" s="2113" t="s">
        <v>62</v>
      </c>
      <c r="AZ360" s="2608">
        <v>46387.6459837963</v>
      </c>
      <c r="BA360" s="2113" t="s">
        <v>62</v>
      </c>
      <c r="BB360" s="1354"/>
      <c r="BC360" s="2259" t="s">
        <v>514</v>
      </c>
      <c r="BD360" s="1648"/>
      <c r="BE360" s="1630"/>
      <c r="BF360" s="1630" t="str">
        <f>IF(T360="","",T360)</f>
        <v/>
      </c>
      <c r="BG360" s="1630"/>
      <c r="BH360" s="1630"/>
      <c r="BI360" s="1641">
        <v>0</v>
      </c>
    </row>
    <row customHeight="1" ht="14.25">
      <c r="A361" s="1369"/>
      <c r="B361" s="1369"/>
      <c r="C361" s="1369"/>
      <c r="D361" s="1369"/>
      <c r="E361" s="2265"/>
      <c r="F361" s="2265"/>
      <c r="G361" s="2265"/>
      <c r="H361" s="2265"/>
      <c r="I361" s="2292"/>
      <c r="J361" s="2292"/>
      <c r="K361" s="2262"/>
      <c r="L361" s="1375"/>
      <c r="M361" s="1782"/>
      <c r="N361" s="1782"/>
      <c r="O361" s="1782"/>
      <c r="P361" s="2380"/>
      <c r="Q361" s="2380"/>
      <c r="R361" s="2353"/>
      <c r="S361" s="2348"/>
      <c r="T361" s="2367"/>
      <c r="U361" s="306"/>
      <c r="V361" s="6197"/>
      <c r="W361" s="6198"/>
      <c r="X361" s="6199"/>
      <c r="Y361" s="6200"/>
      <c r="Z361" s="6201"/>
      <c r="AA361" s="6202"/>
      <c r="AB361" s="6203"/>
      <c r="AC361" s="6204"/>
      <c r="AD361" s="2192"/>
      <c r="AE361" s="2332"/>
      <c r="AF361" s="2443"/>
      <c r="AG361" s="2369"/>
      <c r="AH361" s="2113"/>
      <c r="AI361" s="2332"/>
      <c r="AJ361" s="2443" t="s">
        <v>113</v>
      </c>
      <c r="AK361" s="2333"/>
      <c r="AL361" s="2113"/>
      <c r="AM361" s="2301"/>
      <c r="AN361" s="2443"/>
      <c r="AO361" s="2683" t="s">
        <v>28</v>
      </c>
      <c r="AP361" s="2365"/>
      <c r="AQ361" s="6205"/>
      <c r="AR361" s="6206"/>
      <c r="AS361" s="6207" t="s">
        <v>515</v>
      </c>
      <c r="AT361" s="6208"/>
      <c r="AU361" s="6209"/>
      <c r="AV361" s="6210"/>
      <c r="AW361" s="6211"/>
      <c r="AX361" s="6212"/>
      <c r="AY361" s="6213"/>
      <c r="AZ361" s="6214"/>
      <c r="BA361" s="6215"/>
      <c r="BB361" s="6216"/>
      <c r="BC361" s="2260"/>
      <c r="BD361" s="1648"/>
      <c r="BE361" s="1630"/>
      <c r="BF361" s="1630"/>
      <c r="BG361" s="1630"/>
      <c r="BH361" s="1630"/>
      <c r="BI361" s="1641">
        <v>0</v>
      </c>
    </row>
    <row customHeight="1" ht="14.25">
      <c r="A362" s="1369"/>
      <c r="B362" s="1369"/>
      <c r="C362" s="1369"/>
      <c r="D362" s="1369"/>
      <c r="E362" s="2265"/>
      <c r="F362" s="2265"/>
      <c r="G362" s="2265"/>
      <c r="H362" s="2265"/>
      <c r="I362" s="2292"/>
      <c r="J362" s="2292"/>
      <c r="K362" s="2262"/>
      <c r="L362" s="1375"/>
      <c r="M362" s="1782"/>
      <c r="N362" s="1782"/>
      <c r="O362" s="1782"/>
      <c r="P362" s="2380"/>
      <c r="Q362" s="2380"/>
      <c r="R362" s="2353"/>
      <c r="S362" s="2348"/>
      <c r="T362" s="2367"/>
      <c r="U362" s="306"/>
      <c r="V362" s="6217"/>
      <c r="W362" s="6218"/>
      <c r="X362" s="6219"/>
      <c r="Y362" s="6220"/>
      <c r="Z362" s="6221"/>
      <c r="AA362" s="6222"/>
      <c r="AB362" s="6223"/>
      <c r="AC362" s="6224"/>
      <c r="AD362" s="2192"/>
      <c r="AE362" s="2332"/>
      <c r="AF362" s="2443"/>
      <c r="AG362" s="2369"/>
      <c r="AH362" s="2113"/>
      <c r="AI362" s="2332"/>
      <c r="AJ362" s="2443" t="s">
        <v>113</v>
      </c>
      <c r="AK362" s="2333"/>
      <c r="AL362" s="2113"/>
      <c r="AM362" s="6225"/>
      <c r="AN362" s="6226"/>
      <c r="AO362" s="6227" t="s">
        <v>516</v>
      </c>
      <c r="AP362" s="6228"/>
      <c r="AQ362" s="6229"/>
      <c r="AR362" s="6230"/>
      <c r="AS362" s="6231"/>
      <c r="AT362" s="6232"/>
      <c r="AU362" s="6233"/>
      <c r="AV362" s="6234"/>
      <c r="AW362" s="6235"/>
      <c r="AX362" s="6236"/>
      <c r="AY362" s="6237"/>
      <c r="AZ362" s="6238"/>
      <c r="BA362" s="6239"/>
      <c r="BB362" s="6240"/>
      <c r="BC362" s="2260"/>
      <c r="BD362" s="1648"/>
      <c r="BE362" s="1630"/>
      <c r="BF362" s="1630"/>
      <c r="BG362" s="1630"/>
      <c r="BH362" s="1630"/>
      <c r="BI362" s="1641">
        <v>0</v>
      </c>
    </row>
    <row customHeight="1" ht="14.25">
      <c r="A363" s="1369"/>
      <c r="B363" s="1369"/>
      <c r="C363" s="1369"/>
      <c r="D363" s="1369"/>
      <c r="E363" s="2265"/>
      <c r="F363" s="2265"/>
      <c r="G363" s="2265"/>
      <c r="H363" s="2265"/>
      <c r="I363" s="2292"/>
      <c r="J363" s="2292"/>
      <c r="K363" s="2262" t="str">
        <f>S65&amp;".10"</f>
        <v>2.1.1.10</v>
      </c>
      <c r="L363" s="1375"/>
      <c r="M363" s="1782"/>
      <c r="N363" s="1782"/>
      <c r="O363" s="1782"/>
      <c r="P363" s="2380"/>
      <c r="Q363" s="2380"/>
      <c r="R363" s="2353"/>
      <c r="S363" s="2348"/>
      <c r="T363" s="2367"/>
      <c r="U363" s="306"/>
      <c r="V363" s="6241"/>
      <c r="W363" s="6242"/>
      <c r="X363" s="6243"/>
      <c r="Y363" s="6244"/>
      <c r="Z363" s="6245"/>
      <c r="AA363" s="6246"/>
      <c r="AB363" s="6247"/>
      <c r="AC363" s="6248"/>
      <c r="AD363" s="2192"/>
      <c r="AE363" s="2332"/>
      <c r="AF363" s="2443"/>
      <c r="AG363" s="2682" t="s">
        <v>28</v>
      </c>
      <c r="AH363" s="2113"/>
      <c r="AI363" s="6249"/>
      <c r="AJ363" s="6250"/>
      <c r="AK363" s="6251" t="s">
        <v>517</v>
      </c>
      <c r="AL363" s="6252"/>
      <c r="AM363" s="6253"/>
      <c r="AN363" s="6254"/>
      <c r="AO363" s="6255"/>
      <c r="AP363" s="6256"/>
      <c r="AQ363" s="6257"/>
      <c r="AR363" s="6258"/>
      <c r="AS363" s="6259"/>
      <c r="AT363" s="6260"/>
      <c r="AU363" s="6261"/>
      <c r="AV363" s="6262"/>
      <c r="AW363" s="6263"/>
      <c r="AX363" s="6264"/>
      <c r="AY363" s="6265"/>
      <c r="AZ363" s="6266"/>
      <c r="BA363" s="6267"/>
      <c r="BB363" s="6268"/>
      <c r="BC363" s="2260"/>
      <c r="BD363" s="1648"/>
      <c r="BE363" s="1630"/>
      <c r="BF363" s="1630"/>
      <c r="BG363" s="1630"/>
      <c r="BH363" s="1630"/>
      <c r="BI363" s="1641">
        <v>0</v>
      </c>
    </row>
    <row customHeight="1" ht="14.25">
      <c r="A364" s="1369"/>
      <c r="B364" s="1369"/>
      <c r="C364" s="1369"/>
      <c r="D364" s="1369"/>
      <c r="E364" s="2265"/>
      <c r="F364" s="2265"/>
      <c r="G364" s="2265"/>
      <c r="H364" s="2265"/>
      <c r="I364" s="2292"/>
      <c r="J364" s="2292"/>
      <c r="K364" s="2262" t="str">
        <f>S65&amp;".10"</f>
        <v>2.1.1.10</v>
      </c>
      <c r="L364" s="1375"/>
      <c r="M364" s="1782"/>
      <c r="N364" s="1782"/>
      <c r="O364" s="1782"/>
      <c r="P364" s="2380"/>
      <c r="Q364" s="2380"/>
      <c r="R364" s="2353"/>
      <c r="S364" s="2349"/>
      <c r="T364" s="2368"/>
      <c r="U364" s="306"/>
      <c r="V364" s="6269"/>
      <c r="W364" s="6270" t="str">
        <f>Z341&amp;"-"&amp;AB341</f>
        <v>-</v>
      </c>
      <c r="X364" s="6271"/>
      <c r="Y364" s="6272" t="str">
        <f>AB341&amp;"-"&amp;AD341</f>
        <v>-нет</v>
      </c>
      <c r="Z364" s="6273"/>
      <c r="AA364" s="6274"/>
      <c r="AB364" s="6275"/>
      <c r="AC364" s="6276"/>
      <c r="AD364" s="2118"/>
      <c r="AE364" s="6277"/>
      <c r="AF364" s="6278"/>
      <c r="AG364" s="6279" t="s">
        <v>518</v>
      </c>
      <c r="AH364" s="6280"/>
      <c r="AI364" s="6281"/>
      <c r="AJ364" s="6282"/>
      <c r="AK364" s="6283"/>
      <c r="AL364" s="6284"/>
      <c r="AM364" s="6285"/>
      <c r="AN364" s="6286"/>
      <c r="AO364" s="6287"/>
      <c r="AP364" s="6288"/>
      <c r="AQ364" s="6289"/>
      <c r="AR364" s="6290"/>
      <c r="AS364" s="6291"/>
      <c r="AT364" s="6292"/>
      <c r="AU364" s="6293" t="str">
        <f>AX341&amp;"-"&amp;AZ341</f>
        <v>46023.62231481481-46387.64503472222</v>
      </c>
      <c r="AV364" s="6294"/>
      <c r="AW364" s="6295" t="str">
        <f>AZ341&amp;"-"&amp;BB341</f>
        <v>46387.64503472222-</v>
      </c>
      <c r="AX364" s="6296"/>
      <c r="AY364" s="6297"/>
      <c r="AZ364" s="6298"/>
      <c r="BA364" s="6299"/>
      <c r="BB364" s="6300" t="str">
        <f>BE341&amp;"-"&amp;BG341</f>
        <v>-</v>
      </c>
      <c r="BC364" s="2260"/>
      <c r="BD364" s="1648"/>
      <c r="BE364" s="1630"/>
      <c r="BF364" s="1630" t="str">
        <f>IF(T364="","",T364)</f>
        <v/>
      </c>
      <c r="BG364" s="1630"/>
      <c r="BH364" s="1630"/>
      <c r="BI364" s="1641">
        <v>0</v>
      </c>
    </row>
    <row customHeight="1" ht="14.25">
      <c r="A365" s="1369"/>
      <c r="B365" s="1369"/>
      <c r="C365" s="1369"/>
      <c r="D365" s="1369"/>
      <c r="E365" s="2265"/>
      <c r="F365" s="2265"/>
      <c r="G365" s="2265"/>
      <c r="H365" s="2265"/>
      <c r="I365" s="2292"/>
      <c r="J365" s="2292"/>
      <c r="K365" s="2262" t="str">
        <f>S65&amp;".12"</f>
        <v>2.1.1.12</v>
      </c>
      <c r="L365" s="1375"/>
      <c r="M365" s="1782"/>
      <c r="N365" s="1782"/>
      <c r="O365" s="1782"/>
      <c r="P365" s="2380"/>
      <c r="Q365" s="2380"/>
      <c r="R365" s="689" t="s">
        <v>253</v>
      </c>
      <c r="S365" s="2347" t="str">
        <f>$K365</f>
        <v>2.1.1.12</v>
      </c>
      <c r="T365" s="2366" t="s">
        <v>549</v>
      </c>
      <c r="U365" s="306"/>
      <c r="V365" s="757"/>
      <c r="W365" s="1263"/>
      <c r="X365" s="757"/>
      <c r="Y365" s="1263"/>
      <c r="Z365" s="2608"/>
      <c r="AA365" s="2113" t="s">
        <v>62</v>
      </c>
      <c r="AB365" s="2608"/>
      <c r="AC365" s="2113" t="s">
        <v>62</v>
      </c>
      <c r="AD365" s="2191" t="s">
        <v>19</v>
      </c>
      <c r="AE365" s="2332"/>
      <c r="AF365" s="2443">
        <v>1</v>
      </c>
      <c r="AG365" s="2682" t="s">
        <v>28</v>
      </c>
      <c r="AH365" s="2113" t="s">
        <v>62</v>
      </c>
      <c r="AI365" s="2332"/>
      <c r="AJ365" s="2443">
        <v>1</v>
      </c>
      <c r="AK365" s="2333" t="s">
        <v>532</v>
      </c>
      <c r="AL365" s="2113" t="s">
        <v>19</v>
      </c>
      <c r="AM365" s="2300"/>
      <c r="AN365" s="2443">
        <v>1</v>
      </c>
      <c r="AO365" s="2683" t="s">
        <v>28</v>
      </c>
      <c r="AP365" s="2364" t="s">
        <v>62</v>
      </c>
      <c r="AQ365" s="317"/>
      <c r="AR365" s="2443">
        <v>1</v>
      </c>
      <c r="AS365" s="2582" t="s">
        <v>541</v>
      </c>
      <c r="AT365" s="757"/>
      <c r="AU365" s="1263"/>
      <c r="AV365" s="757"/>
      <c r="AW365" s="1263">
        <v>8352.13</v>
      </c>
      <c r="AX365" s="2608">
        <v>46023.622766203705</v>
      </c>
      <c r="AY365" s="2113" t="s">
        <v>62</v>
      </c>
      <c r="AZ365" s="2608">
        <v>46387.64608796296</v>
      </c>
      <c r="BA365" s="2113" t="s">
        <v>62</v>
      </c>
      <c r="BB365" s="1354"/>
      <c r="BC365" s="2259" t="s">
        <v>514</v>
      </c>
      <c r="BD365" s="1648"/>
      <c r="BE365" s="1630"/>
      <c r="BF365" s="1630" t="str">
        <f>IF(T365="","",T365)</f>
        <v>Бесканальная прокладка трубопроводов водоснабжения в изоляции из пенополиуретана (ППУ),  с работой на отвале, диаметр труб: </v>
      </c>
      <c r="BG365" s="1630"/>
      <c r="BH365" s="1630"/>
      <c r="BI365" s="1641">
        <v>0</v>
      </c>
    </row>
    <row customHeight="1" ht="14.25">
      <c r="A366" s="1369"/>
      <c r="B366" s="1369"/>
      <c r="C366" s="1369"/>
      <c r="D366" s="1369"/>
      <c r="E366" s="2265"/>
      <c r="F366" s="2265"/>
      <c r="G366" s="2265"/>
      <c r="H366" s="2265"/>
      <c r="I366" s="2292"/>
      <c r="J366" s="2292"/>
      <c r="K366" s="2262" t="str">
        <f>S362&amp;".1"</f>
        <v>.1</v>
      </c>
      <c r="L366" s="1375"/>
      <c r="M366" s="1782"/>
      <c r="N366" s="1782"/>
      <c r="O366" s="1782"/>
      <c r="P366" s="2380"/>
      <c r="Q366" s="2380"/>
      <c r="R366" s="2353">
        <v>1</v>
      </c>
      <c r="S366" s="2347" t="str">
        <f>$K366</f>
        <v>.1</v>
      </c>
      <c r="T366" s="2366"/>
      <c r="U366" s="306"/>
      <c r="V366" s="757"/>
      <c r="W366" s="1263"/>
      <c r="X366" s="757"/>
      <c r="Y366" s="1263"/>
      <c r="Z366" s="2608"/>
      <c r="AA366" s="2113" t="s">
        <v>62</v>
      </c>
      <c r="AB366" s="2608"/>
      <c r="AC366" s="2113" t="s">
        <v>62</v>
      </c>
      <c r="AD366" s="2191" t="s">
        <v>62</v>
      </c>
      <c r="AE366" s="2332"/>
      <c r="AF366" s="2443">
        <v>1</v>
      </c>
      <c r="AG366" s="2369"/>
      <c r="AH366" s="2113" t="s">
        <v>62</v>
      </c>
      <c r="AI366" s="2332"/>
      <c r="AJ366" s="2443">
        <v>1</v>
      </c>
      <c r="AK366" s="2333" t="s">
        <v>28</v>
      </c>
      <c r="AL366" s="2113" t="s">
        <v>62</v>
      </c>
      <c r="AM366" s="2300"/>
      <c r="AN366" s="2443">
        <v>1</v>
      </c>
      <c r="AO366" s="2683" t="s">
        <v>28</v>
      </c>
      <c r="AP366" s="2364" t="s">
        <v>62</v>
      </c>
      <c r="AQ366" s="689" t="s">
        <v>253</v>
      </c>
      <c r="AR366" s="2443" t="s">
        <v>112</v>
      </c>
      <c r="AS366" s="2582" t="s">
        <v>541</v>
      </c>
      <c r="AT366" s="757"/>
      <c r="AU366" s="1263"/>
      <c r="AV366" s="757"/>
      <c r="AW366" s="1263">
        <v>11137.44</v>
      </c>
      <c r="AX366" s="2608">
        <v>46023.62280092593</v>
      </c>
      <c r="AY366" s="2113" t="s">
        <v>62</v>
      </c>
      <c r="AZ366" s="2608">
        <v>46387.64619212963</v>
      </c>
      <c r="BA366" s="2113" t="s">
        <v>62</v>
      </c>
      <c r="BB366" s="1354"/>
      <c r="BC366" s="2259" t="s">
        <v>514</v>
      </c>
      <c r="BD366" s="1648"/>
      <c r="BE366" s="1630"/>
      <c r="BF366" s="1630" t="str">
        <f>IF(T366="","",T366)</f>
        <v/>
      </c>
      <c r="BG366" s="1630"/>
      <c r="BH366" s="1630"/>
      <c r="BI366" s="1641">
        <v>0</v>
      </c>
    </row>
    <row customHeight="1" ht="14.25">
      <c r="A367" s="1369"/>
      <c r="B367" s="1369"/>
      <c r="C367" s="1369"/>
      <c r="D367" s="1369"/>
      <c r="E367" s="2265"/>
      <c r="F367" s="2265"/>
      <c r="G367" s="2265"/>
      <c r="H367" s="2265"/>
      <c r="I367" s="2292"/>
      <c r="J367" s="2292"/>
      <c r="K367" s="2262" t="str">
        <f>S65&amp;".11"</f>
        <v>2.1.1.11</v>
      </c>
      <c r="L367" s="1375"/>
      <c r="M367" s="1782"/>
      <c r="N367" s="1782"/>
      <c r="O367" s="1782"/>
      <c r="P367" s="2380"/>
      <c r="Q367" s="2380"/>
      <c r="R367" s="2353"/>
      <c r="S367" s="2348"/>
      <c r="T367" s="2367"/>
      <c r="U367" s="306"/>
      <c r="V367" s="6301"/>
      <c r="W367" s="6302"/>
      <c r="X367" s="6303"/>
      <c r="Y367" s="6304"/>
      <c r="Z367" s="6305"/>
      <c r="AA367" s="6306"/>
      <c r="AB367" s="6307"/>
      <c r="AC367" s="6308"/>
      <c r="AD367" s="2192"/>
      <c r="AE367" s="2332"/>
      <c r="AF367" s="2443"/>
      <c r="AG367" s="2682" t="s">
        <v>28</v>
      </c>
      <c r="AH367" s="2113"/>
      <c r="AI367" s="2332"/>
      <c r="AJ367" s="2443"/>
      <c r="AK367" s="2333"/>
      <c r="AL367" s="2113"/>
      <c r="AM367" s="2301"/>
      <c r="AN367" s="2443"/>
      <c r="AO367" s="2683" t="s">
        <v>28</v>
      </c>
      <c r="AP367" s="2365"/>
      <c r="AQ367" s="6309"/>
      <c r="AR367" s="6310"/>
      <c r="AS367" s="6311" t="s">
        <v>515</v>
      </c>
      <c r="AT367" s="6312"/>
      <c r="AU367" s="6313"/>
      <c r="AV367" s="6314"/>
      <c r="AW367" s="6315"/>
      <c r="AX367" s="6316"/>
      <c r="AY367" s="6317"/>
      <c r="AZ367" s="6318"/>
      <c r="BA367" s="6319"/>
      <c r="BB367" s="6320"/>
      <c r="BC367" s="2260"/>
      <c r="BD367" s="1648"/>
      <c r="BE367" s="1630"/>
      <c r="BF367" s="1630"/>
      <c r="BG367" s="1630"/>
      <c r="BH367" s="1630"/>
      <c r="BI367" s="1641">
        <v>0</v>
      </c>
    </row>
    <row customHeight="1" ht="14.25">
      <c r="A368" s="1369"/>
      <c r="B368" s="1369"/>
      <c r="C368" s="1369"/>
      <c r="D368" s="1369"/>
      <c r="E368" s="2265"/>
      <c r="F368" s="2265"/>
      <c r="G368" s="2265"/>
      <c r="H368" s="2265"/>
      <c r="I368" s="2292"/>
      <c r="J368" s="2292"/>
      <c r="K368" s="2262" t="str">
        <f>S65&amp;".11"</f>
        <v>2.1.1.11</v>
      </c>
      <c r="L368" s="1375"/>
      <c r="M368" s="1782"/>
      <c r="N368" s="1782"/>
      <c r="O368" s="1782"/>
      <c r="P368" s="2380"/>
      <c r="Q368" s="2380"/>
      <c r="R368" s="2353"/>
      <c r="S368" s="2348"/>
      <c r="T368" s="2367"/>
      <c r="U368" s="306"/>
      <c r="V368" s="6321"/>
      <c r="W368" s="6322"/>
      <c r="X368" s="6323"/>
      <c r="Y368" s="6324"/>
      <c r="Z368" s="6325"/>
      <c r="AA368" s="6326"/>
      <c r="AB368" s="6327"/>
      <c r="AC368" s="6328"/>
      <c r="AD368" s="2192"/>
      <c r="AE368" s="2332"/>
      <c r="AF368" s="2443"/>
      <c r="AG368" s="2682" t="s">
        <v>28</v>
      </c>
      <c r="AH368" s="2113"/>
      <c r="AI368" s="2332"/>
      <c r="AJ368" s="2443"/>
      <c r="AK368" s="2333"/>
      <c r="AL368" s="2113"/>
      <c r="AM368" s="6329"/>
      <c r="AN368" s="6330"/>
      <c r="AO368" s="6331" t="s">
        <v>516</v>
      </c>
      <c r="AP368" s="6332"/>
      <c r="AQ368" s="6333"/>
      <c r="AR368" s="6334"/>
      <c r="AS368" s="6335"/>
      <c r="AT368" s="6336"/>
      <c r="AU368" s="6337"/>
      <c r="AV368" s="6338"/>
      <c r="AW368" s="6339"/>
      <c r="AX368" s="6340"/>
      <c r="AY368" s="6341"/>
      <c r="AZ368" s="6342"/>
      <c r="BA368" s="6343"/>
      <c r="BB368" s="6344"/>
      <c r="BC368" s="2260"/>
      <c r="BD368" s="1648"/>
      <c r="BE368" s="1630"/>
      <c r="BF368" s="1630"/>
      <c r="BG368" s="1630"/>
      <c r="BH368" s="1630"/>
      <c r="BI368" s="1641">
        <v>0</v>
      </c>
    </row>
    <row customHeight="1" ht="14.25">
      <c r="A369" s="1369"/>
      <c r="B369" s="1369"/>
      <c r="C369" s="1369"/>
      <c r="D369" s="1369"/>
      <c r="E369" s="2265"/>
      <c r="F369" s="2265"/>
      <c r="G369" s="2265"/>
      <c r="H369" s="2265"/>
      <c r="I369" s="2292"/>
      <c r="J369" s="2292"/>
      <c r="K369" s="2262" t="str">
        <f>S364&amp;".1"</f>
        <v>.1</v>
      </c>
      <c r="L369" s="1375"/>
      <c r="M369" s="1782"/>
      <c r="N369" s="1782"/>
      <c r="O369" s="1782"/>
      <c r="P369" s="2380"/>
      <c r="Q369" s="2380"/>
      <c r="R369" s="2353">
        <v>1</v>
      </c>
      <c r="S369" s="2347" t="str">
        <f>$K369</f>
        <v>.1</v>
      </c>
      <c r="T369" s="2366"/>
      <c r="U369" s="306"/>
      <c r="V369" s="757"/>
      <c r="W369" s="1263"/>
      <c r="X369" s="757"/>
      <c r="Y369" s="1263"/>
      <c r="Z369" s="2608"/>
      <c r="AA369" s="2113" t="s">
        <v>62</v>
      </c>
      <c r="AB369" s="2608"/>
      <c r="AC369" s="2113" t="s">
        <v>62</v>
      </c>
      <c r="AD369" s="2191" t="s">
        <v>62</v>
      </c>
      <c r="AE369" s="2332"/>
      <c r="AF369" s="2443">
        <v>1</v>
      </c>
      <c r="AG369" s="2369"/>
      <c r="AH369" s="2113" t="s">
        <v>62</v>
      </c>
      <c r="AI369" s="689" t="s">
        <v>253</v>
      </c>
      <c r="AJ369" s="2443" t="s">
        <v>112</v>
      </c>
      <c r="AK369" s="2333" t="s">
        <v>533</v>
      </c>
      <c r="AL369" s="2113" t="s">
        <v>19</v>
      </c>
      <c r="AM369" s="2300"/>
      <c r="AN369" s="2443">
        <v>1</v>
      </c>
      <c r="AO369" s="2683" t="s">
        <v>28</v>
      </c>
      <c r="AP369" s="2364" t="s">
        <v>62</v>
      </c>
      <c r="AQ369" s="317"/>
      <c r="AR369" s="2443">
        <v>1</v>
      </c>
      <c r="AS369" s="2582" t="s">
        <v>541</v>
      </c>
      <c r="AT369" s="757"/>
      <c r="AU369" s="1263"/>
      <c r="AV369" s="757"/>
      <c r="AW369" s="1263">
        <v>12538.31</v>
      </c>
      <c r="AX369" s="2608">
        <v>46023.62283564815</v>
      </c>
      <c r="AY369" s="2113" t="s">
        <v>62</v>
      </c>
      <c r="AZ369" s="2608">
        <v>46387.64630787037</v>
      </c>
      <c r="BA369" s="2113" t="s">
        <v>62</v>
      </c>
      <c r="BB369" s="1354"/>
      <c r="BC369" s="2259" t="s">
        <v>514</v>
      </c>
      <c r="BD369" s="1648"/>
      <c r="BE369" s="1630"/>
      <c r="BF369" s="1630" t="str">
        <f>IF(T369="","",T369)</f>
        <v/>
      </c>
      <c r="BG369" s="1630"/>
      <c r="BH369" s="1630"/>
      <c r="BI369" s="1641">
        <v>0</v>
      </c>
    </row>
    <row customHeight="1" ht="14.25">
      <c r="A370" s="1369"/>
      <c r="B370" s="1369"/>
      <c r="C370" s="1369"/>
      <c r="D370" s="1369"/>
      <c r="E370" s="2265"/>
      <c r="F370" s="2265"/>
      <c r="G370" s="2265"/>
      <c r="H370" s="2265"/>
      <c r="I370" s="2292"/>
      <c r="J370" s="2292"/>
      <c r="K370" s="2262" t="str">
        <f>S366&amp;".1"</f>
        <v>.1.1</v>
      </c>
      <c r="L370" s="1375"/>
      <c r="M370" s="1782"/>
      <c r="N370" s="1782"/>
      <c r="O370" s="1782"/>
      <c r="P370" s="2380"/>
      <c r="Q370" s="2380"/>
      <c r="R370" s="2353">
        <v>1</v>
      </c>
      <c r="S370" s="2347" t="str">
        <f>$K370</f>
        <v>.1.1</v>
      </c>
      <c r="T370" s="2366"/>
      <c r="U370" s="306"/>
      <c r="V370" s="757"/>
      <c r="W370" s="1263"/>
      <c r="X370" s="757"/>
      <c r="Y370" s="1263"/>
      <c r="Z370" s="2608"/>
      <c r="AA370" s="2113" t="s">
        <v>62</v>
      </c>
      <c r="AB370" s="2608"/>
      <c r="AC370" s="2113" t="s">
        <v>62</v>
      </c>
      <c r="AD370" s="2191" t="s">
        <v>62</v>
      </c>
      <c r="AE370" s="2332"/>
      <c r="AF370" s="2443">
        <v>1</v>
      </c>
      <c r="AG370" s="2369"/>
      <c r="AH370" s="2113" t="s">
        <v>62</v>
      </c>
      <c r="AI370" s="2332"/>
      <c r="AJ370" s="2443">
        <v>1</v>
      </c>
      <c r="AK370" s="2333" t="s">
        <v>28</v>
      </c>
      <c r="AL370" s="2113" t="s">
        <v>62</v>
      </c>
      <c r="AM370" s="2300"/>
      <c r="AN370" s="2443">
        <v>1</v>
      </c>
      <c r="AO370" s="2683" t="s">
        <v>28</v>
      </c>
      <c r="AP370" s="2364" t="s">
        <v>62</v>
      </c>
      <c r="AQ370" s="689" t="s">
        <v>253</v>
      </c>
      <c r="AR370" s="2443" t="s">
        <v>112</v>
      </c>
      <c r="AS370" s="2582" t="s">
        <v>541</v>
      </c>
      <c r="AT370" s="757"/>
      <c r="AU370" s="1263"/>
      <c r="AV370" s="757"/>
      <c r="AW370" s="1263">
        <v>15540.43</v>
      </c>
      <c r="AX370" s="2608">
        <v>46023.6228587963</v>
      </c>
      <c r="AY370" s="2113" t="s">
        <v>62</v>
      </c>
      <c r="AZ370" s="2608">
        <v>46387.64638888889</v>
      </c>
      <c r="BA370" s="2113" t="s">
        <v>62</v>
      </c>
      <c r="BB370" s="1354"/>
      <c r="BC370" s="2259" t="s">
        <v>514</v>
      </c>
      <c r="BD370" s="1648"/>
      <c r="BE370" s="1630"/>
      <c r="BF370" s="1630" t="str">
        <f>IF(T370="","",T370)</f>
        <v/>
      </c>
      <c r="BG370" s="1630"/>
      <c r="BH370" s="1630"/>
      <c r="BI370" s="1641">
        <v>0</v>
      </c>
    </row>
    <row customHeight="1" ht="14.25">
      <c r="A371" s="1369"/>
      <c r="B371" s="1369"/>
      <c r="C371" s="1369"/>
      <c r="D371" s="1369"/>
      <c r="E371" s="2265"/>
      <c r="F371" s="2265"/>
      <c r="G371" s="2265"/>
      <c r="H371" s="2265"/>
      <c r="I371" s="2292"/>
      <c r="J371" s="2292"/>
      <c r="K371" s="2262"/>
      <c r="L371" s="1375"/>
      <c r="M371" s="1782"/>
      <c r="N371" s="1782"/>
      <c r="O371" s="1782"/>
      <c r="P371" s="2380"/>
      <c r="Q371" s="2380"/>
      <c r="R371" s="2353"/>
      <c r="S371" s="2348"/>
      <c r="T371" s="2367"/>
      <c r="U371" s="306"/>
      <c r="V371" s="6345"/>
      <c r="W371" s="6346"/>
      <c r="X371" s="6347"/>
      <c r="Y371" s="6348"/>
      <c r="Z371" s="6349"/>
      <c r="AA371" s="6350"/>
      <c r="AB371" s="6351"/>
      <c r="AC371" s="6352"/>
      <c r="AD371" s="2192"/>
      <c r="AE371" s="2332"/>
      <c r="AF371" s="2443"/>
      <c r="AG371" s="2369"/>
      <c r="AH371" s="2113"/>
      <c r="AI371" s="2332"/>
      <c r="AJ371" s="2443">
        <v>1</v>
      </c>
      <c r="AK371" s="2333"/>
      <c r="AL371" s="2113"/>
      <c r="AM371" s="2301"/>
      <c r="AN371" s="2443"/>
      <c r="AO371" s="2683" t="s">
        <v>28</v>
      </c>
      <c r="AP371" s="2365"/>
      <c r="AQ371" s="6353"/>
      <c r="AR371" s="6354"/>
      <c r="AS371" s="6355" t="s">
        <v>515</v>
      </c>
      <c r="AT371" s="6356"/>
      <c r="AU371" s="6357"/>
      <c r="AV371" s="6358"/>
      <c r="AW371" s="6359"/>
      <c r="AX371" s="6360"/>
      <c r="AY371" s="6361"/>
      <c r="AZ371" s="6362"/>
      <c r="BA371" s="6363"/>
      <c r="BB371" s="6364"/>
      <c r="BC371" s="2260"/>
      <c r="BD371" s="1648"/>
      <c r="BE371" s="1630"/>
      <c r="BF371" s="1630"/>
      <c r="BG371" s="1630"/>
      <c r="BH371" s="1630"/>
      <c r="BI371" s="1641">
        <v>0</v>
      </c>
    </row>
    <row customHeight="1" ht="14.25">
      <c r="A372" s="1369"/>
      <c r="B372" s="1369"/>
      <c r="C372" s="1369"/>
      <c r="D372" s="1369"/>
      <c r="E372" s="2265"/>
      <c r="F372" s="2265"/>
      <c r="G372" s="2265"/>
      <c r="H372" s="2265"/>
      <c r="I372" s="2292"/>
      <c r="J372" s="2292"/>
      <c r="K372" s="2262"/>
      <c r="L372" s="1375"/>
      <c r="M372" s="1782"/>
      <c r="N372" s="1782"/>
      <c r="O372" s="1782"/>
      <c r="P372" s="2380"/>
      <c r="Q372" s="2380"/>
      <c r="R372" s="2353"/>
      <c r="S372" s="2348"/>
      <c r="T372" s="2367"/>
      <c r="U372" s="306"/>
      <c r="V372" s="6365"/>
      <c r="W372" s="6366"/>
      <c r="X372" s="6367"/>
      <c r="Y372" s="6368"/>
      <c r="Z372" s="6369"/>
      <c r="AA372" s="6370"/>
      <c r="AB372" s="6371"/>
      <c r="AC372" s="6372"/>
      <c r="AD372" s="2192"/>
      <c r="AE372" s="2332"/>
      <c r="AF372" s="2443"/>
      <c r="AG372" s="2369"/>
      <c r="AH372" s="2113"/>
      <c r="AI372" s="2332"/>
      <c r="AJ372" s="2443">
        <v>1</v>
      </c>
      <c r="AK372" s="2333"/>
      <c r="AL372" s="2113"/>
      <c r="AM372" s="6373"/>
      <c r="AN372" s="6374"/>
      <c r="AO372" s="6375" t="s">
        <v>516</v>
      </c>
      <c r="AP372" s="6376"/>
      <c r="AQ372" s="6377"/>
      <c r="AR372" s="6378"/>
      <c r="AS372" s="6379"/>
      <c r="AT372" s="6380"/>
      <c r="AU372" s="6381"/>
      <c r="AV372" s="6382"/>
      <c r="AW372" s="6383"/>
      <c r="AX372" s="6384"/>
      <c r="AY372" s="6385"/>
      <c r="AZ372" s="6386"/>
      <c r="BA372" s="6387"/>
      <c r="BB372" s="6388"/>
      <c r="BC372" s="2260"/>
      <c r="BD372" s="1648"/>
      <c r="BE372" s="1630"/>
      <c r="BF372" s="1630"/>
      <c r="BG372" s="1630"/>
      <c r="BH372" s="1630"/>
      <c r="BI372" s="1641">
        <v>0</v>
      </c>
    </row>
    <row customHeight="1" ht="14.25">
      <c r="A373" s="1369"/>
      <c r="B373" s="1369"/>
      <c r="C373" s="1369"/>
      <c r="D373" s="1369"/>
      <c r="E373" s="2265"/>
      <c r="F373" s="2265"/>
      <c r="G373" s="2265"/>
      <c r="H373" s="2265"/>
      <c r="I373" s="2292"/>
      <c r="J373" s="2292"/>
      <c r="K373" s="2262" t="str">
        <f>S368&amp;".1"</f>
        <v>.1</v>
      </c>
      <c r="L373" s="1375"/>
      <c r="M373" s="1782"/>
      <c r="N373" s="1782"/>
      <c r="O373" s="1782"/>
      <c r="P373" s="2380"/>
      <c r="Q373" s="2380"/>
      <c r="R373" s="2353">
        <v>1</v>
      </c>
      <c r="S373" s="2347" t="str">
        <f>$K373</f>
        <v>.1</v>
      </c>
      <c r="T373" s="2366"/>
      <c r="U373" s="306"/>
      <c r="V373" s="757"/>
      <c r="W373" s="1263"/>
      <c r="X373" s="757"/>
      <c r="Y373" s="1263"/>
      <c r="Z373" s="2608"/>
      <c r="AA373" s="2113" t="s">
        <v>62</v>
      </c>
      <c r="AB373" s="2608"/>
      <c r="AC373" s="2113" t="s">
        <v>62</v>
      </c>
      <c r="AD373" s="2191" t="s">
        <v>62</v>
      </c>
      <c r="AE373" s="2332"/>
      <c r="AF373" s="2443">
        <v>1</v>
      </c>
      <c r="AG373" s="2369"/>
      <c r="AH373" s="2113" t="s">
        <v>62</v>
      </c>
      <c r="AI373" s="689" t="s">
        <v>253</v>
      </c>
      <c r="AJ373" s="2443" t="s">
        <v>91</v>
      </c>
      <c r="AK373" s="2333" t="s">
        <v>534</v>
      </c>
      <c r="AL373" s="2113" t="s">
        <v>19</v>
      </c>
      <c r="AM373" s="2300"/>
      <c r="AN373" s="2443">
        <v>1</v>
      </c>
      <c r="AO373" s="2683" t="s">
        <v>28</v>
      </c>
      <c r="AP373" s="2364" t="s">
        <v>62</v>
      </c>
      <c r="AQ373" s="317"/>
      <c r="AR373" s="2443">
        <v>1</v>
      </c>
      <c r="AS373" s="2582" t="s">
        <v>541</v>
      </c>
      <c r="AT373" s="757"/>
      <c r="AU373" s="1263"/>
      <c r="AV373" s="757"/>
      <c r="AW373" s="1263">
        <v>17659.56</v>
      </c>
      <c r="AX373" s="2608">
        <v>46023.62289351852</v>
      </c>
      <c r="AY373" s="2113" t="s">
        <v>62</v>
      </c>
      <c r="AZ373" s="2608">
        <v>46387.646458333336</v>
      </c>
      <c r="BA373" s="2113" t="s">
        <v>62</v>
      </c>
      <c r="BB373" s="1354"/>
      <c r="BC373" s="2259" t="s">
        <v>514</v>
      </c>
      <c r="BD373" s="1648"/>
      <c r="BE373" s="1630"/>
      <c r="BF373" s="1630" t="str">
        <f>IF(T373="","",T373)</f>
        <v/>
      </c>
      <c r="BG373" s="1630"/>
      <c r="BH373" s="1630"/>
      <c r="BI373" s="1641">
        <v>0</v>
      </c>
    </row>
    <row customHeight="1" ht="14.25">
      <c r="A374" s="1369"/>
      <c r="B374" s="1369"/>
      <c r="C374" s="1369"/>
      <c r="D374" s="1369"/>
      <c r="E374" s="2265"/>
      <c r="F374" s="2265"/>
      <c r="G374" s="2265"/>
      <c r="H374" s="2265"/>
      <c r="I374" s="2292"/>
      <c r="J374" s="2292"/>
      <c r="K374" s="2262" t="str">
        <f>S370&amp;".1"</f>
        <v>.1.1.1</v>
      </c>
      <c r="L374" s="1375"/>
      <c r="M374" s="1782"/>
      <c r="N374" s="1782"/>
      <c r="O374" s="1782"/>
      <c r="P374" s="2380"/>
      <c r="Q374" s="2380"/>
      <c r="R374" s="2353">
        <v>1</v>
      </c>
      <c r="S374" s="2347" t="str">
        <f>$K374</f>
        <v>.1.1.1</v>
      </c>
      <c r="T374" s="2366"/>
      <c r="U374" s="306"/>
      <c r="V374" s="757"/>
      <c r="W374" s="1263"/>
      <c r="X374" s="757"/>
      <c r="Y374" s="1263"/>
      <c r="Z374" s="2608"/>
      <c r="AA374" s="2113" t="s">
        <v>62</v>
      </c>
      <c r="AB374" s="2608"/>
      <c r="AC374" s="2113" t="s">
        <v>62</v>
      </c>
      <c r="AD374" s="2191" t="s">
        <v>62</v>
      </c>
      <c r="AE374" s="2332"/>
      <c r="AF374" s="2443">
        <v>1</v>
      </c>
      <c r="AG374" s="7650"/>
      <c r="AH374" s="2113" t="s">
        <v>62</v>
      </c>
      <c r="AI374" s="2332"/>
      <c r="AJ374" s="2443">
        <v>1</v>
      </c>
      <c r="AK374" s="2333" t="s">
        <v>28</v>
      </c>
      <c r="AL374" s="2113" t="s">
        <v>62</v>
      </c>
      <c r="AM374" s="2300"/>
      <c r="AN374" s="2443">
        <v>1</v>
      </c>
      <c r="AO374" s="2363"/>
      <c r="AP374" s="2364" t="s">
        <v>62</v>
      </c>
      <c r="AQ374" s="689" t="s">
        <v>253</v>
      </c>
      <c r="AR374" s="2443" t="s">
        <v>112</v>
      </c>
      <c r="AS374" s="7652" t="s">
        <v>541</v>
      </c>
      <c r="AT374" s="757"/>
      <c r="AU374" s="1263"/>
      <c r="AV374" s="757"/>
      <c r="AW374" s="1263">
        <v>19081.39</v>
      </c>
      <c r="AX374" s="2608">
        <v>46023.4546875</v>
      </c>
      <c r="AY374" s="2113" t="s">
        <v>62</v>
      </c>
      <c r="AZ374" s="2608">
        <v>46387.454733796294</v>
      </c>
      <c r="BA374" s="2113" t="s">
        <v>62</v>
      </c>
      <c r="BB374" s="1354"/>
      <c r="BC374" s="2259" t="s">
        <v>514</v>
      </c>
      <c r="BD374" s="1648"/>
      <c r="BE374" s="1630"/>
      <c r="BF374" s="1630" t="str">
        <f>IF(T374="","",T374)</f>
        <v/>
      </c>
      <c r="BG374" s="1630"/>
      <c r="BH374" s="1630"/>
      <c r="BI374" s="1641">
        <v>0</v>
      </c>
    </row>
    <row customHeight="1" ht="14.25">
      <c r="A375" s="1369"/>
      <c r="B375" s="1369"/>
      <c r="C375" s="1369"/>
      <c r="D375" s="1369"/>
      <c r="E375" s="2265"/>
      <c r="F375" s="2265"/>
      <c r="G375" s="2265"/>
      <c r="H375" s="2265"/>
      <c r="I375" s="2292"/>
      <c r="J375" s="2292"/>
      <c r="K375" s="2262"/>
      <c r="L375" s="1375"/>
      <c r="M375" s="1782"/>
      <c r="N375" s="1782"/>
      <c r="O375" s="1782"/>
      <c r="P375" s="2380"/>
      <c r="Q375" s="2380"/>
      <c r="R375" s="2353"/>
      <c r="S375" s="2348"/>
      <c r="T375" s="2367"/>
      <c r="U375" s="306"/>
      <c r="V375" s="6389"/>
      <c r="W375" s="6390"/>
      <c r="X375" s="6391"/>
      <c r="Y375" s="6392"/>
      <c r="Z375" s="6393"/>
      <c r="AA375" s="6394"/>
      <c r="AB375" s="6395"/>
      <c r="AC375" s="6396"/>
      <c r="AD375" s="2192"/>
      <c r="AE375" s="2332"/>
      <c r="AF375" s="2443"/>
      <c r="AG375" s="2369"/>
      <c r="AH375" s="2113"/>
      <c r="AI375" s="2332"/>
      <c r="AJ375" s="2443" t="s">
        <v>112</v>
      </c>
      <c r="AK375" s="2333"/>
      <c r="AL375" s="2113"/>
      <c r="AM375" s="2301"/>
      <c r="AN375" s="2443"/>
      <c r="AO375" s="2683" t="s">
        <v>28</v>
      </c>
      <c r="AP375" s="2365"/>
      <c r="AQ375" s="6397"/>
      <c r="AR375" s="6398"/>
      <c r="AS375" s="6399" t="s">
        <v>515</v>
      </c>
      <c r="AT375" s="6400"/>
      <c r="AU375" s="6401"/>
      <c r="AV375" s="6402"/>
      <c r="AW375" s="6403"/>
      <c r="AX375" s="6404"/>
      <c r="AY375" s="6405"/>
      <c r="AZ375" s="6406"/>
      <c r="BA375" s="6407"/>
      <c r="BB375" s="6408"/>
      <c r="BC375" s="2260"/>
      <c r="BD375" s="1648"/>
      <c r="BE375" s="1630"/>
      <c r="BF375" s="1630"/>
      <c r="BG375" s="1630"/>
      <c r="BH375" s="1630"/>
      <c r="BI375" s="1641">
        <v>0</v>
      </c>
    </row>
    <row customHeight="1" ht="14.25">
      <c r="A376" s="1369"/>
      <c r="B376" s="1369"/>
      <c r="C376" s="1369"/>
      <c r="D376" s="1369"/>
      <c r="E376" s="2265"/>
      <c r="F376" s="2265"/>
      <c r="G376" s="2265"/>
      <c r="H376" s="2265"/>
      <c r="I376" s="2292"/>
      <c r="J376" s="2292"/>
      <c r="K376" s="2262"/>
      <c r="L376" s="1375"/>
      <c r="M376" s="1782"/>
      <c r="N376" s="1782"/>
      <c r="O376" s="1782"/>
      <c r="P376" s="2380"/>
      <c r="Q376" s="2380"/>
      <c r="R376" s="2353"/>
      <c r="S376" s="2348"/>
      <c r="T376" s="2367"/>
      <c r="U376" s="306"/>
      <c r="V376" s="6409"/>
      <c r="W376" s="6410"/>
      <c r="X376" s="6411"/>
      <c r="Y376" s="6412"/>
      <c r="Z376" s="6413"/>
      <c r="AA376" s="6414"/>
      <c r="AB376" s="6415"/>
      <c r="AC376" s="6416"/>
      <c r="AD376" s="2192"/>
      <c r="AE376" s="2332"/>
      <c r="AF376" s="2443"/>
      <c r="AG376" s="2369"/>
      <c r="AH376" s="2113"/>
      <c r="AI376" s="2332"/>
      <c r="AJ376" s="2443" t="s">
        <v>112</v>
      </c>
      <c r="AK376" s="2333"/>
      <c r="AL376" s="2113"/>
      <c r="AM376" s="6417"/>
      <c r="AN376" s="6418"/>
      <c r="AO376" s="6419" t="s">
        <v>516</v>
      </c>
      <c r="AP376" s="6420"/>
      <c r="AQ376" s="6421"/>
      <c r="AR376" s="6422"/>
      <c r="AS376" s="6423"/>
      <c r="AT376" s="6424"/>
      <c r="AU376" s="6425"/>
      <c r="AV376" s="6426"/>
      <c r="AW376" s="6427"/>
      <c r="AX376" s="6428"/>
      <c r="AY376" s="6429"/>
      <c r="AZ376" s="6430"/>
      <c r="BA376" s="6431"/>
      <c r="BB376" s="6432"/>
      <c r="BC376" s="2260"/>
      <c r="BD376" s="1648"/>
      <c r="BE376" s="1630"/>
      <c r="BF376" s="1630"/>
      <c r="BG376" s="1630"/>
      <c r="BH376" s="1630"/>
      <c r="BI376" s="1641">
        <v>0</v>
      </c>
    </row>
    <row customHeight="1" ht="14.25">
      <c r="A377" s="1369"/>
      <c r="B377" s="1369"/>
      <c r="C377" s="1369"/>
      <c r="D377" s="1369"/>
      <c r="E377" s="2265"/>
      <c r="F377" s="2265"/>
      <c r="G377" s="2265"/>
      <c r="H377" s="2265"/>
      <c r="I377" s="2292"/>
      <c r="J377" s="2292"/>
      <c r="K377" s="2262" t="str">
        <f>S372&amp;".1"</f>
        <v>.1</v>
      </c>
      <c r="L377" s="1375"/>
      <c r="M377" s="1782"/>
      <c r="N377" s="1782"/>
      <c r="O377" s="1782"/>
      <c r="P377" s="2380"/>
      <c r="Q377" s="2380"/>
      <c r="R377" s="2353">
        <v>1</v>
      </c>
      <c r="S377" s="2347" t="str">
        <f>$K377</f>
        <v>.1</v>
      </c>
      <c r="T377" s="2366"/>
      <c r="U377" s="306"/>
      <c r="V377" s="757"/>
      <c r="W377" s="1263"/>
      <c r="X377" s="757"/>
      <c r="Y377" s="1263"/>
      <c r="Z377" s="2608"/>
      <c r="AA377" s="2113" t="s">
        <v>62</v>
      </c>
      <c r="AB377" s="2608"/>
      <c r="AC377" s="2113" t="s">
        <v>62</v>
      </c>
      <c r="AD377" s="2191" t="s">
        <v>62</v>
      </c>
      <c r="AE377" s="2332"/>
      <c r="AF377" s="2443">
        <v>1</v>
      </c>
      <c r="AG377" s="2369"/>
      <c r="AH377" s="2113" t="s">
        <v>62</v>
      </c>
      <c r="AI377" s="689" t="s">
        <v>253</v>
      </c>
      <c r="AJ377" s="2443" t="s">
        <v>92</v>
      </c>
      <c r="AK377" s="2333" t="s">
        <v>535</v>
      </c>
      <c r="AL377" s="2113" t="s">
        <v>19</v>
      </c>
      <c r="AM377" s="2300"/>
      <c r="AN377" s="2443">
        <v>1</v>
      </c>
      <c r="AO377" s="2683" t="s">
        <v>28</v>
      </c>
      <c r="AP377" s="2364" t="s">
        <v>62</v>
      </c>
      <c r="AQ377" s="317"/>
      <c r="AR377" s="2443">
        <v>1</v>
      </c>
      <c r="AS377" s="2582" t="s">
        <v>541</v>
      </c>
      <c r="AT377" s="757"/>
      <c r="AU377" s="1263"/>
      <c r="AV377" s="757"/>
      <c r="AW377" s="1263">
        <v>21456.14</v>
      </c>
      <c r="AX377" s="2608">
        <v>46023.622928240744</v>
      </c>
      <c r="AY377" s="2113" t="s">
        <v>62</v>
      </c>
      <c r="AZ377" s="2608">
        <v>46387.64653935185</v>
      </c>
      <c r="BA377" s="2113" t="s">
        <v>62</v>
      </c>
      <c r="BB377" s="1354"/>
      <c r="BC377" s="2259" t="s">
        <v>514</v>
      </c>
      <c r="BD377" s="1648"/>
      <c r="BE377" s="1630"/>
      <c r="BF377" s="1630" t="str">
        <f>IF(T377="","",T377)</f>
        <v/>
      </c>
      <c r="BG377" s="1630"/>
      <c r="BH377" s="1630"/>
      <c r="BI377" s="1641">
        <v>0</v>
      </c>
    </row>
    <row customHeight="1" ht="14.25">
      <c r="A378" s="1369"/>
      <c r="B378" s="1369"/>
      <c r="C378" s="1369"/>
      <c r="D378" s="1369"/>
      <c r="E378" s="2265"/>
      <c r="F378" s="2265"/>
      <c r="G378" s="2265"/>
      <c r="H378" s="2265"/>
      <c r="I378" s="2292"/>
      <c r="J378" s="2292"/>
      <c r="K378" s="2262" t="str">
        <f>S374&amp;".1"</f>
        <v>.1.1.1.1</v>
      </c>
      <c r="L378" s="1375"/>
      <c r="M378" s="1782"/>
      <c r="N378" s="1782"/>
      <c r="O378" s="1782"/>
      <c r="P378" s="2380"/>
      <c r="Q378" s="2380"/>
      <c r="R378" s="2353">
        <v>1</v>
      </c>
      <c r="S378" s="2347" t="str">
        <f>$K378</f>
        <v>.1.1.1.1</v>
      </c>
      <c r="T378" s="2366"/>
      <c r="U378" s="306"/>
      <c r="V378" s="757"/>
      <c r="W378" s="1263"/>
      <c r="X378" s="757"/>
      <c r="Y378" s="1263"/>
      <c r="Z378" s="2608"/>
      <c r="AA378" s="2113" t="s">
        <v>62</v>
      </c>
      <c r="AB378" s="2608"/>
      <c r="AC378" s="2113" t="s">
        <v>62</v>
      </c>
      <c r="AD378" s="2191" t="s">
        <v>62</v>
      </c>
      <c r="AE378" s="2332"/>
      <c r="AF378" s="2443">
        <v>1</v>
      </c>
      <c r="AG378" s="7650"/>
      <c r="AH378" s="2113" t="s">
        <v>62</v>
      </c>
      <c r="AI378" s="2332"/>
      <c r="AJ378" s="2443">
        <v>1</v>
      </c>
      <c r="AK378" s="2333" t="s">
        <v>28</v>
      </c>
      <c r="AL378" s="2113" t="s">
        <v>62</v>
      </c>
      <c r="AM378" s="2300"/>
      <c r="AN378" s="2443">
        <v>1</v>
      </c>
      <c r="AO378" s="2363"/>
      <c r="AP378" s="2364" t="s">
        <v>62</v>
      </c>
      <c r="AQ378" s="689" t="s">
        <v>253</v>
      </c>
      <c r="AR378" s="2443" t="s">
        <v>112</v>
      </c>
      <c r="AS378" s="7652" t="s">
        <v>541</v>
      </c>
      <c r="AT378" s="757"/>
      <c r="AU378" s="1263"/>
      <c r="AV378" s="757"/>
      <c r="AW378" s="1263">
        <v>24438.84</v>
      </c>
      <c r="AX378" s="2608">
        <v>46023.45548611111</v>
      </c>
      <c r="AY378" s="2113" t="s">
        <v>62</v>
      </c>
      <c r="AZ378" s="2608">
        <v>46387.45552083333</v>
      </c>
      <c r="BA378" s="2113" t="s">
        <v>62</v>
      </c>
      <c r="BB378" s="1354"/>
      <c r="BC378" s="2259" t="s">
        <v>514</v>
      </c>
      <c r="BD378" s="1648"/>
      <c r="BE378" s="1630"/>
      <c r="BF378" s="1630" t="str">
        <f>IF(T378="","",T378)</f>
        <v/>
      </c>
      <c r="BG378" s="1630"/>
      <c r="BH378" s="1630"/>
      <c r="BI378" s="1641">
        <v>0</v>
      </c>
    </row>
    <row customHeight="1" ht="14.25">
      <c r="A379" s="1369"/>
      <c r="B379" s="1369"/>
      <c r="C379" s="1369"/>
      <c r="D379" s="1369"/>
      <c r="E379" s="2265"/>
      <c r="F379" s="2265"/>
      <c r="G379" s="2265"/>
      <c r="H379" s="2265"/>
      <c r="I379" s="2292"/>
      <c r="J379" s="2292"/>
      <c r="K379" s="2262"/>
      <c r="L379" s="1375"/>
      <c r="M379" s="1782"/>
      <c r="N379" s="1782"/>
      <c r="O379" s="1782"/>
      <c r="P379" s="2380"/>
      <c r="Q379" s="2380"/>
      <c r="R379" s="2353"/>
      <c r="S379" s="2348"/>
      <c r="T379" s="2367"/>
      <c r="U379" s="306"/>
      <c r="V379" s="6433"/>
      <c r="W379" s="6434"/>
      <c r="X379" s="6435"/>
      <c r="Y379" s="6436"/>
      <c r="Z379" s="6437"/>
      <c r="AA379" s="6438"/>
      <c r="AB379" s="6439"/>
      <c r="AC379" s="6440"/>
      <c r="AD379" s="2192"/>
      <c r="AE379" s="2332"/>
      <c r="AF379" s="2443"/>
      <c r="AG379" s="2369"/>
      <c r="AH379" s="2113"/>
      <c r="AI379" s="2332"/>
      <c r="AJ379" s="2443" t="s">
        <v>91</v>
      </c>
      <c r="AK379" s="2333"/>
      <c r="AL379" s="2113"/>
      <c r="AM379" s="2301"/>
      <c r="AN379" s="2443"/>
      <c r="AO379" s="2683" t="s">
        <v>28</v>
      </c>
      <c r="AP379" s="2365"/>
      <c r="AQ379" s="6441"/>
      <c r="AR379" s="6442"/>
      <c r="AS379" s="6443" t="s">
        <v>515</v>
      </c>
      <c r="AT379" s="6444"/>
      <c r="AU379" s="6445"/>
      <c r="AV379" s="6446"/>
      <c r="AW379" s="6447"/>
      <c r="AX379" s="6448"/>
      <c r="AY379" s="6449"/>
      <c r="AZ379" s="6450"/>
      <c r="BA379" s="6451"/>
      <c r="BB379" s="6452"/>
      <c r="BC379" s="2260"/>
      <c r="BD379" s="1648"/>
      <c r="BE379" s="1630"/>
      <c r="BF379" s="1630"/>
      <c r="BG379" s="1630"/>
      <c r="BH379" s="1630"/>
      <c r="BI379" s="1641">
        <v>0</v>
      </c>
    </row>
    <row customHeight="1" ht="14.25">
      <c r="A380" s="1369"/>
      <c r="B380" s="1369"/>
      <c r="C380" s="1369"/>
      <c r="D380" s="1369"/>
      <c r="E380" s="2265"/>
      <c r="F380" s="2265"/>
      <c r="G380" s="2265"/>
      <c r="H380" s="2265"/>
      <c r="I380" s="2292"/>
      <c r="J380" s="2292"/>
      <c r="K380" s="2262"/>
      <c r="L380" s="1375"/>
      <c r="M380" s="1782"/>
      <c r="N380" s="1782"/>
      <c r="O380" s="1782"/>
      <c r="P380" s="2380"/>
      <c r="Q380" s="2380"/>
      <c r="R380" s="2353"/>
      <c r="S380" s="2348"/>
      <c r="T380" s="2367"/>
      <c r="U380" s="306"/>
      <c r="V380" s="6453"/>
      <c r="W380" s="6454"/>
      <c r="X380" s="6455"/>
      <c r="Y380" s="6456"/>
      <c r="Z380" s="6457"/>
      <c r="AA380" s="6458"/>
      <c r="AB380" s="6459"/>
      <c r="AC380" s="6460"/>
      <c r="AD380" s="2192"/>
      <c r="AE380" s="2332"/>
      <c r="AF380" s="2443"/>
      <c r="AG380" s="2369"/>
      <c r="AH380" s="2113"/>
      <c r="AI380" s="2332"/>
      <c r="AJ380" s="2443" t="s">
        <v>91</v>
      </c>
      <c r="AK380" s="2333"/>
      <c r="AL380" s="2113"/>
      <c r="AM380" s="6461"/>
      <c r="AN380" s="6462"/>
      <c r="AO380" s="6463" t="s">
        <v>516</v>
      </c>
      <c r="AP380" s="6464"/>
      <c r="AQ380" s="6465"/>
      <c r="AR380" s="6466"/>
      <c r="AS380" s="6467"/>
      <c r="AT380" s="6468"/>
      <c r="AU380" s="6469"/>
      <c r="AV380" s="6470"/>
      <c r="AW380" s="6471"/>
      <c r="AX380" s="6472"/>
      <c r="AY380" s="6473"/>
      <c r="AZ380" s="6474"/>
      <c r="BA380" s="6475"/>
      <c r="BB380" s="6476"/>
      <c r="BC380" s="2260"/>
      <c r="BD380" s="1648"/>
      <c r="BE380" s="1630"/>
      <c r="BF380" s="1630"/>
      <c r="BG380" s="1630"/>
      <c r="BH380" s="1630"/>
      <c r="BI380" s="1641">
        <v>0</v>
      </c>
    </row>
    <row customHeight="1" ht="14.25">
      <c r="A381" s="1369"/>
      <c r="B381" s="1369"/>
      <c r="C381" s="1369"/>
      <c r="D381" s="1369"/>
      <c r="E381" s="2265"/>
      <c r="F381" s="2265"/>
      <c r="G381" s="2265"/>
      <c r="H381" s="2265"/>
      <c r="I381" s="2292"/>
      <c r="J381" s="2292"/>
      <c r="K381" s="2262" t="str">
        <f>S376&amp;".1"</f>
        <v>.1</v>
      </c>
      <c r="L381" s="1375"/>
      <c r="M381" s="1782"/>
      <c r="N381" s="1782"/>
      <c r="O381" s="1782"/>
      <c r="P381" s="2380"/>
      <c r="Q381" s="2380"/>
      <c r="R381" s="2353">
        <v>1</v>
      </c>
      <c r="S381" s="2347" t="str">
        <f>$K381</f>
        <v>.1</v>
      </c>
      <c r="T381" s="2366"/>
      <c r="U381" s="306"/>
      <c r="V381" s="757"/>
      <c r="W381" s="1263"/>
      <c r="X381" s="757"/>
      <c r="Y381" s="1263"/>
      <c r="Z381" s="2608"/>
      <c r="AA381" s="2113" t="s">
        <v>62</v>
      </c>
      <c r="AB381" s="2608"/>
      <c r="AC381" s="2113" t="s">
        <v>62</v>
      </c>
      <c r="AD381" s="2191" t="s">
        <v>62</v>
      </c>
      <c r="AE381" s="2332"/>
      <c r="AF381" s="2443">
        <v>1</v>
      </c>
      <c r="AG381" s="2369"/>
      <c r="AH381" s="2113" t="s">
        <v>62</v>
      </c>
      <c r="AI381" s="689" t="s">
        <v>253</v>
      </c>
      <c r="AJ381" s="2443" t="s">
        <v>113</v>
      </c>
      <c r="AK381" s="2333" t="s">
        <v>536</v>
      </c>
      <c r="AL381" s="2113" t="s">
        <v>19</v>
      </c>
      <c r="AM381" s="2300"/>
      <c r="AN381" s="2443">
        <v>1</v>
      </c>
      <c r="AO381" s="2683" t="s">
        <v>28</v>
      </c>
      <c r="AP381" s="2364" t="s">
        <v>62</v>
      </c>
      <c r="AQ381" s="317"/>
      <c r="AR381" s="2443">
        <v>1</v>
      </c>
      <c r="AS381" s="2582" t="s">
        <v>541</v>
      </c>
      <c r="AT381" s="757"/>
      <c r="AU381" s="1263"/>
      <c r="AV381" s="757"/>
      <c r="AW381" s="1263">
        <v>30120.06</v>
      </c>
      <c r="AX381" s="2608">
        <v>46023.62296296296</v>
      </c>
      <c r="AY381" s="2113" t="s">
        <v>62</v>
      </c>
      <c r="AZ381" s="2608">
        <v>46387.64665509259</v>
      </c>
      <c r="BA381" s="2113" t="s">
        <v>62</v>
      </c>
      <c r="BB381" s="1354"/>
      <c r="BC381" s="2259" t="s">
        <v>514</v>
      </c>
      <c r="BD381" s="1648"/>
      <c r="BE381" s="1630"/>
      <c r="BF381" s="1630" t="str">
        <f>IF(T381="","",T381)</f>
        <v/>
      </c>
      <c r="BG381" s="1630"/>
      <c r="BH381" s="1630"/>
      <c r="BI381" s="1641">
        <v>0</v>
      </c>
    </row>
    <row customHeight="1" ht="14.25">
      <c r="A382" s="1369"/>
      <c r="B382" s="1369"/>
      <c r="C382" s="1369"/>
      <c r="D382" s="1369"/>
      <c r="E382" s="2265"/>
      <c r="F382" s="2265"/>
      <c r="G382" s="2265"/>
      <c r="H382" s="2265"/>
      <c r="I382" s="2292"/>
      <c r="J382" s="2292"/>
      <c r="K382" s="2262"/>
      <c r="L382" s="1375"/>
      <c r="M382" s="1782"/>
      <c r="N382" s="1782"/>
      <c r="O382" s="1782"/>
      <c r="P382" s="2380"/>
      <c r="Q382" s="2380"/>
      <c r="R382" s="2353"/>
      <c r="S382" s="2348"/>
      <c r="T382" s="2367"/>
      <c r="U382" s="306"/>
      <c r="V382" s="6477"/>
      <c r="W382" s="6478"/>
      <c r="X382" s="6479"/>
      <c r="Y382" s="6480"/>
      <c r="Z382" s="6481"/>
      <c r="AA382" s="6482"/>
      <c r="AB382" s="6483"/>
      <c r="AC382" s="6484"/>
      <c r="AD382" s="2192"/>
      <c r="AE382" s="2332"/>
      <c r="AF382" s="2443"/>
      <c r="AG382" s="2369"/>
      <c r="AH382" s="2113"/>
      <c r="AI382" s="2332"/>
      <c r="AJ382" s="2443" t="s">
        <v>92</v>
      </c>
      <c r="AK382" s="2333"/>
      <c r="AL382" s="2113"/>
      <c r="AM382" s="2301"/>
      <c r="AN382" s="2443"/>
      <c r="AO382" s="2683" t="s">
        <v>28</v>
      </c>
      <c r="AP382" s="2365"/>
      <c r="AQ382" s="6485"/>
      <c r="AR382" s="6486"/>
      <c r="AS382" s="6487" t="s">
        <v>515</v>
      </c>
      <c r="AT382" s="6488"/>
      <c r="AU382" s="6489"/>
      <c r="AV382" s="6490"/>
      <c r="AW382" s="6491"/>
      <c r="AX382" s="6492"/>
      <c r="AY382" s="6493"/>
      <c r="AZ382" s="6494"/>
      <c r="BA382" s="6495"/>
      <c r="BB382" s="6496"/>
      <c r="BC382" s="2260"/>
      <c r="BD382" s="1648"/>
      <c r="BE382" s="1630"/>
      <c r="BF382" s="1630"/>
      <c r="BG382" s="1630"/>
      <c r="BH382" s="1630"/>
      <c r="BI382" s="1641">
        <v>0</v>
      </c>
    </row>
    <row customHeight="1" ht="14.25">
      <c r="A383" s="1369"/>
      <c r="B383" s="1369"/>
      <c r="C383" s="1369"/>
      <c r="D383" s="1369"/>
      <c r="E383" s="2265"/>
      <c r="F383" s="2265"/>
      <c r="G383" s="2265"/>
      <c r="H383" s="2265"/>
      <c r="I383" s="2292"/>
      <c r="J383" s="2292"/>
      <c r="K383" s="2262"/>
      <c r="L383" s="1375"/>
      <c r="M383" s="1782"/>
      <c r="N383" s="1782"/>
      <c r="O383" s="1782"/>
      <c r="P383" s="2380"/>
      <c r="Q383" s="2380"/>
      <c r="R383" s="2353"/>
      <c r="S383" s="2348"/>
      <c r="T383" s="2367"/>
      <c r="U383" s="306"/>
      <c r="V383" s="6497"/>
      <c r="W383" s="6498"/>
      <c r="X383" s="6499"/>
      <c r="Y383" s="6500"/>
      <c r="Z383" s="6501"/>
      <c r="AA383" s="6502"/>
      <c r="AB383" s="6503"/>
      <c r="AC383" s="6504"/>
      <c r="AD383" s="2192"/>
      <c r="AE383" s="2332"/>
      <c r="AF383" s="2443"/>
      <c r="AG383" s="2369"/>
      <c r="AH383" s="2113"/>
      <c r="AI383" s="2332"/>
      <c r="AJ383" s="2443" t="s">
        <v>92</v>
      </c>
      <c r="AK383" s="2333"/>
      <c r="AL383" s="2113"/>
      <c r="AM383" s="6505"/>
      <c r="AN383" s="6506"/>
      <c r="AO383" s="6507" t="s">
        <v>516</v>
      </c>
      <c r="AP383" s="6508"/>
      <c r="AQ383" s="6509"/>
      <c r="AR383" s="6510"/>
      <c r="AS383" s="6511"/>
      <c r="AT383" s="6512"/>
      <c r="AU383" s="6513"/>
      <c r="AV383" s="6514"/>
      <c r="AW383" s="6515"/>
      <c r="AX383" s="6516"/>
      <c r="AY383" s="6517"/>
      <c r="AZ383" s="6518"/>
      <c r="BA383" s="6519"/>
      <c r="BB383" s="6520"/>
      <c r="BC383" s="2260"/>
      <c r="BD383" s="1648"/>
      <c r="BE383" s="1630"/>
      <c r="BF383" s="1630"/>
      <c r="BG383" s="1630"/>
      <c r="BH383" s="1630"/>
      <c r="BI383" s="1641">
        <v>0</v>
      </c>
    </row>
    <row customHeight="1" ht="14.25">
      <c r="A384" s="1369"/>
      <c r="B384" s="1369"/>
      <c r="C384" s="1369"/>
      <c r="D384" s="1369"/>
      <c r="E384" s="2265"/>
      <c r="F384" s="2265"/>
      <c r="G384" s="2265"/>
      <c r="H384" s="2265"/>
      <c r="I384" s="2292"/>
      <c r="J384" s="2292"/>
      <c r="K384" s="2262" t="str">
        <f>S380&amp;".1"</f>
        <v>.1</v>
      </c>
      <c r="L384" s="1375"/>
      <c r="M384" s="1782"/>
      <c r="N384" s="1782"/>
      <c r="O384" s="1782"/>
      <c r="P384" s="2380"/>
      <c r="Q384" s="2380"/>
      <c r="R384" s="2353">
        <v>1</v>
      </c>
      <c r="S384" s="2347" t="str">
        <f>$K384</f>
        <v>.1</v>
      </c>
      <c r="T384" s="2366"/>
      <c r="U384" s="306"/>
      <c r="V384" s="757"/>
      <c r="W384" s="1263"/>
      <c r="X384" s="757"/>
      <c r="Y384" s="1263"/>
      <c r="Z384" s="2608"/>
      <c r="AA384" s="2113" t="s">
        <v>62</v>
      </c>
      <c r="AB384" s="2608"/>
      <c r="AC384" s="2113" t="s">
        <v>62</v>
      </c>
      <c r="AD384" s="2191" t="s">
        <v>62</v>
      </c>
      <c r="AE384" s="2332"/>
      <c r="AF384" s="2443">
        <v>1</v>
      </c>
      <c r="AG384" s="2369"/>
      <c r="AH384" s="2113" t="s">
        <v>62</v>
      </c>
      <c r="AI384" s="689" t="s">
        <v>253</v>
      </c>
      <c r="AJ384" s="2443" t="s">
        <v>93</v>
      </c>
      <c r="AK384" s="2333" t="s">
        <v>537</v>
      </c>
      <c r="AL384" s="2113" t="s">
        <v>19</v>
      </c>
      <c r="AM384" s="2300"/>
      <c r="AN384" s="2443">
        <v>1</v>
      </c>
      <c r="AO384" s="2683" t="s">
        <v>28</v>
      </c>
      <c r="AP384" s="2364" t="s">
        <v>62</v>
      </c>
      <c r="AQ384" s="317"/>
      <c r="AR384" s="2443">
        <v>1</v>
      </c>
      <c r="AS384" s="2582" t="s">
        <v>541</v>
      </c>
      <c r="AT384" s="757"/>
      <c r="AU384" s="1263"/>
      <c r="AV384" s="757"/>
      <c r="AW384" s="1263">
        <v>35807.31</v>
      </c>
      <c r="AX384" s="2608">
        <v>46023.62304398148</v>
      </c>
      <c r="AY384" s="2113" t="s">
        <v>62</v>
      </c>
      <c r="AZ384" s="2608">
        <v>46387.64685185185</v>
      </c>
      <c r="BA384" s="2113" t="s">
        <v>62</v>
      </c>
      <c r="BB384" s="1354"/>
      <c r="BC384" s="2259" t="s">
        <v>514</v>
      </c>
      <c r="BD384" s="1648"/>
      <c r="BE384" s="1630"/>
      <c r="BF384" s="1630" t="str">
        <f>IF(T384="","",T384)</f>
        <v/>
      </c>
      <c r="BG384" s="1630"/>
      <c r="BH384" s="1630"/>
      <c r="BI384" s="1641">
        <v>0</v>
      </c>
    </row>
    <row customHeight="1" ht="14.25">
      <c r="A385" s="1369"/>
      <c r="B385" s="1369"/>
      <c r="C385" s="1369"/>
      <c r="D385" s="1369"/>
      <c r="E385" s="2265"/>
      <c r="F385" s="2265"/>
      <c r="G385" s="2265"/>
      <c r="H385" s="2265"/>
      <c r="I385" s="2292"/>
      <c r="J385" s="2292"/>
      <c r="K385" s="2262"/>
      <c r="L385" s="1375"/>
      <c r="M385" s="1782"/>
      <c r="N385" s="1782"/>
      <c r="O385" s="1782"/>
      <c r="P385" s="2380"/>
      <c r="Q385" s="2380"/>
      <c r="R385" s="2353"/>
      <c r="S385" s="2348"/>
      <c r="T385" s="2367"/>
      <c r="U385" s="306"/>
      <c r="V385" s="6521"/>
      <c r="W385" s="6522"/>
      <c r="X385" s="6523"/>
      <c r="Y385" s="6524"/>
      <c r="Z385" s="6525"/>
      <c r="AA385" s="6526"/>
      <c r="AB385" s="6527"/>
      <c r="AC385" s="6528"/>
      <c r="AD385" s="2192"/>
      <c r="AE385" s="2332"/>
      <c r="AF385" s="2443"/>
      <c r="AG385" s="2369"/>
      <c r="AH385" s="2113"/>
      <c r="AI385" s="2332"/>
      <c r="AJ385" s="2443" t="s">
        <v>113</v>
      </c>
      <c r="AK385" s="2333"/>
      <c r="AL385" s="2113"/>
      <c r="AM385" s="2301"/>
      <c r="AN385" s="2443"/>
      <c r="AO385" s="2683" t="s">
        <v>28</v>
      </c>
      <c r="AP385" s="2365"/>
      <c r="AQ385" s="6529"/>
      <c r="AR385" s="6530"/>
      <c r="AS385" s="6531" t="s">
        <v>515</v>
      </c>
      <c r="AT385" s="6532"/>
      <c r="AU385" s="6533"/>
      <c r="AV385" s="6534"/>
      <c r="AW385" s="6535"/>
      <c r="AX385" s="6536"/>
      <c r="AY385" s="6537"/>
      <c r="AZ385" s="6538"/>
      <c r="BA385" s="6539"/>
      <c r="BB385" s="6540"/>
      <c r="BC385" s="2260"/>
      <c r="BD385" s="1648"/>
      <c r="BE385" s="1630"/>
      <c r="BF385" s="1630"/>
      <c r="BG385" s="1630"/>
      <c r="BH385" s="1630"/>
      <c r="BI385" s="1641">
        <v>0</v>
      </c>
    </row>
    <row customHeight="1" ht="14.25">
      <c r="A386" s="1369"/>
      <c r="B386" s="1369"/>
      <c r="C386" s="1369"/>
      <c r="D386" s="1369"/>
      <c r="E386" s="2265"/>
      <c r="F386" s="2265"/>
      <c r="G386" s="2265"/>
      <c r="H386" s="2265"/>
      <c r="I386" s="2292"/>
      <c r="J386" s="2292"/>
      <c r="K386" s="2262"/>
      <c r="L386" s="1375"/>
      <c r="M386" s="1782"/>
      <c r="N386" s="1782"/>
      <c r="O386" s="1782"/>
      <c r="P386" s="2380"/>
      <c r="Q386" s="2380"/>
      <c r="R386" s="2353"/>
      <c r="S386" s="2348"/>
      <c r="T386" s="2367"/>
      <c r="U386" s="306"/>
      <c r="V386" s="6541"/>
      <c r="W386" s="6542"/>
      <c r="X386" s="6543"/>
      <c r="Y386" s="6544"/>
      <c r="Z386" s="6545"/>
      <c r="AA386" s="6546"/>
      <c r="AB386" s="6547"/>
      <c r="AC386" s="6548"/>
      <c r="AD386" s="2192"/>
      <c r="AE386" s="2332"/>
      <c r="AF386" s="2443"/>
      <c r="AG386" s="2369"/>
      <c r="AH386" s="2113"/>
      <c r="AI386" s="2332"/>
      <c r="AJ386" s="2443" t="s">
        <v>113</v>
      </c>
      <c r="AK386" s="2333"/>
      <c r="AL386" s="2113"/>
      <c r="AM386" s="6549"/>
      <c r="AN386" s="6550"/>
      <c r="AO386" s="6551" t="s">
        <v>516</v>
      </c>
      <c r="AP386" s="6552"/>
      <c r="AQ386" s="6553"/>
      <c r="AR386" s="6554"/>
      <c r="AS386" s="6555"/>
      <c r="AT386" s="6556"/>
      <c r="AU386" s="6557"/>
      <c r="AV386" s="6558"/>
      <c r="AW386" s="6559"/>
      <c r="AX386" s="6560"/>
      <c r="AY386" s="6561"/>
      <c r="AZ386" s="6562"/>
      <c r="BA386" s="6563"/>
      <c r="BB386" s="6564"/>
      <c r="BC386" s="2260"/>
      <c r="BD386" s="1648"/>
      <c r="BE386" s="1630"/>
      <c r="BF386" s="1630"/>
      <c r="BG386" s="1630"/>
      <c r="BH386" s="1630"/>
      <c r="BI386" s="1641">
        <v>0</v>
      </c>
    </row>
    <row customHeight="1" ht="14.25">
      <c r="A387" s="1369"/>
      <c r="B387" s="1369"/>
      <c r="C387" s="1369"/>
      <c r="D387" s="1369"/>
      <c r="E387" s="2265"/>
      <c r="F387" s="2265"/>
      <c r="G387" s="2265"/>
      <c r="H387" s="2265"/>
      <c r="I387" s="2292"/>
      <c r="J387" s="2292"/>
      <c r="K387" s="2262" t="str">
        <f>S65&amp;".11"</f>
        <v>2.1.1.11</v>
      </c>
      <c r="L387" s="1375"/>
      <c r="M387" s="1782"/>
      <c r="N387" s="1782"/>
      <c r="O387" s="1782"/>
      <c r="P387" s="2380"/>
      <c r="Q387" s="2380"/>
      <c r="R387" s="2353"/>
      <c r="S387" s="2348"/>
      <c r="T387" s="2367"/>
      <c r="U387" s="306"/>
      <c r="V387" s="6565"/>
      <c r="W387" s="6566"/>
      <c r="X387" s="6567"/>
      <c r="Y387" s="6568"/>
      <c r="Z387" s="6569"/>
      <c r="AA387" s="6570"/>
      <c r="AB387" s="6571"/>
      <c r="AC387" s="6572"/>
      <c r="AD387" s="2192"/>
      <c r="AE387" s="2332"/>
      <c r="AF387" s="2443"/>
      <c r="AG387" s="2682" t="s">
        <v>28</v>
      </c>
      <c r="AH387" s="2113"/>
      <c r="AI387" s="6573"/>
      <c r="AJ387" s="6574"/>
      <c r="AK387" s="6575" t="s">
        <v>517</v>
      </c>
      <c r="AL387" s="6576"/>
      <c r="AM387" s="6577"/>
      <c r="AN387" s="6578"/>
      <c r="AO387" s="6579"/>
      <c r="AP387" s="6580"/>
      <c r="AQ387" s="6581"/>
      <c r="AR387" s="6582"/>
      <c r="AS387" s="6583"/>
      <c r="AT387" s="6584"/>
      <c r="AU387" s="6585"/>
      <c r="AV387" s="6586"/>
      <c r="AW387" s="6587"/>
      <c r="AX387" s="6588"/>
      <c r="AY387" s="6589"/>
      <c r="AZ387" s="6590"/>
      <c r="BA387" s="6591"/>
      <c r="BB387" s="6592"/>
      <c r="BC387" s="2260"/>
      <c r="BD387" s="1648"/>
      <c r="BE387" s="1630"/>
      <c r="BF387" s="1630"/>
      <c r="BG387" s="1630"/>
      <c r="BH387" s="1630"/>
      <c r="BI387" s="1641">
        <v>0</v>
      </c>
    </row>
    <row customHeight="1" ht="14.25">
      <c r="A388" s="1369"/>
      <c r="B388" s="1369"/>
      <c r="C388" s="1369"/>
      <c r="D388" s="1369"/>
      <c r="E388" s="2265"/>
      <c r="F388" s="2265"/>
      <c r="G388" s="2265"/>
      <c r="H388" s="2265"/>
      <c r="I388" s="2292"/>
      <c r="J388" s="2292"/>
      <c r="K388" s="2262" t="str">
        <f>S65&amp;".11"</f>
        <v>2.1.1.11</v>
      </c>
      <c r="L388" s="1375"/>
      <c r="M388" s="1782"/>
      <c r="N388" s="1782"/>
      <c r="O388" s="1782"/>
      <c r="P388" s="2380"/>
      <c r="Q388" s="2380"/>
      <c r="R388" s="2353"/>
      <c r="S388" s="2349"/>
      <c r="T388" s="2368"/>
      <c r="U388" s="306"/>
      <c r="V388" s="6593"/>
      <c r="W388" s="6594" t="str">
        <f>Z365&amp;"-"&amp;AB365</f>
        <v>-</v>
      </c>
      <c r="X388" s="6595"/>
      <c r="Y388" s="6596" t="str">
        <f>AB365&amp;"-"&amp;AD365</f>
        <v>-нет</v>
      </c>
      <c r="Z388" s="6597"/>
      <c r="AA388" s="6598"/>
      <c r="AB388" s="6599"/>
      <c r="AC388" s="6600"/>
      <c r="AD388" s="2118"/>
      <c r="AE388" s="6601"/>
      <c r="AF388" s="6602"/>
      <c r="AG388" s="6603" t="s">
        <v>518</v>
      </c>
      <c r="AH388" s="6604"/>
      <c r="AI388" s="6605"/>
      <c r="AJ388" s="6606"/>
      <c r="AK388" s="6607"/>
      <c r="AL388" s="6608"/>
      <c r="AM388" s="6609"/>
      <c r="AN388" s="6610"/>
      <c r="AO388" s="6611"/>
      <c r="AP388" s="6612"/>
      <c r="AQ388" s="6613"/>
      <c r="AR388" s="6614"/>
      <c r="AS388" s="6615"/>
      <c r="AT388" s="6616"/>
      <c r="AU388" s="6617" t="str">
        <f>AX365&amp;"-"&amp;AZ365</f>
        <v>46023.622766203705-46387.64608796296</v>
      </c>
      <c r="AV388" s="6618"/>
      <c r="AW388" s="6619" t="str">
        <f>AZ365&amp;"-"&amp;BB365</f>
        <v>46387.64608796296-</v>
      </c>
      <c r="AX388" s="6620"/>
      <c r="AY388" s="6621"/>
      <c r="AZ388" s="6622"/>
      <c r="BA388" s="6623"/>
      <c r="BB388" s="6624" t="str">
        <f>BE365&amp;"-"&amp;BG365</f>
        <v>-</v>
      </c>
      <c r="BC388" s="2260"/>
      <c r="BD388" s="1648"/>
      <c r="BE388" s="1630"/>
      <c r="BF388" s="1630" t="str">
        <f>IF(T388="","",T388)</f>
        <v/>
      </c>
      <c r="BG388" s="1630"/>
      <c r="BH388" s="1630"/>
      <c r="BI388" s="1641">
        <v>0</v>
      </c>
    </row>
    <row customHeight="1" ht="14.25">
      <c r="A389" s="1369"/>
      <c r="B389" s="1369"/>
      <c r="C389" s="1369"/>
      <c r="D389" s="1369"/>
      <c r="E389" s="2265"/>
      <c r="F389" s="2265"/>
      <c r="G389" s="2265"/>
      <c r="H389" s="2265"/>
      <c r="I389" s="2292"/>
      <c r="J389" s="2292"/>
      <c r="K389" s="2262" t="str">
        <f>S65&amp;".13"</f>
        <v>2.1.1.13</v>
      </c>
      <c r="L389" s="1375"/>
      <c r="M389" s="1782"/>
      <c r="N389" s="1782"/>
      <c r="O389" s="1782"/>
      <c r="P389" s="2380"/>
      <c r="Q389" s="2380"/>
      <c r="R389" s="689" t="s">
        <v>253</v>
      </c>
      <c r="S389" s="2347" t="str">
        <f>$K389</f>
        <v>2.1.1.13</v>
      </c>
      <c r="T389" s="2366" t="s">
        <v>550</v>
      </c>
      <c r="U389" s="306"/>
      <c r="V389" s="757"/>
      <c r="W389" s="1263"/>
      <c r="X389" s="757"/>
      <c r="Y389" s="1263"/>
      <c r="Z389" s="2608"/>
      <c r="AA389" s="2113" t="s">
        <v>62</v>
      </c>
      <c r="AB389" s="2608"/>
      <c r="AC389" s="2113" t="s">
        <v>62</v>
      </c>
      <c r="AD389" s="2191" t="s">
        <v>19</v>
      </c>
      <c r="AE389" s="2332"/>
      <c r="AF389" s="2443">
        <v>1</v>
      </c>
      <c r="AG389" s="2682" t="s">
        <v>28</v>
      </c>
      <c r="AH389" s="2113" t="s">
        <v>62</v>
      </c>
      <c r="AI389" s="2332"/>
      <c r="AJ389" s="2443">
        <v>1</v>
      </c>
      <c r="AK389" s="2333" t="s">
        <v>532</v>
      </c>
      <c r="AL389" s="2113" t="s">
        <v>19</v>
      </c>
      <c r="AM389" s="2300"/>
      <c r="AN389" s="2443">
        <v>1</v>
      </c>
      <c r="AO389" s="2683" t="s">
        <v>28</v>
      </c>
      <c r="AP389" s="2364" t="s">
        <v>62</v>
      </c>
      <c r="AQ389" s="317"/>
      <c r="AR389" s="2443">
        <v>1</v>
      </c>
      <c r="AS389" s="2582" t="s">
        <v>541</v>
      </c>
      <c r="AT389" s="757"/>
      <c r="AU389" s="1263"/>
      <c r="AV389" s="757"/>
      <c r="AW389" s="1263">
        <v>6065.95</v>
      </c>
      <c r="AX389" s="2608">
        <v>46023.623078703706</v>
      </c>
      <c r="AY389" s="2113" t="s">
        <v>62</v>
      </c>
      <c r="AZ389" s="2608">
        <v>46387.646944444445</v>
      </c>
      <c r="BA389" s="2113" t="s">
        <v>62</v>
      </c>
      <c r="BB389" s="1354"/>
      <c r="BC389" s="2259" t="s">
        <v>514</v>
      </c>
      <c r="BD389" s="1648"/>
      <c r="BE389" s="1630"/>
      <c r="BF389" s="1630" t="str">
        <f>IF(T389="","",T389)</f>
        <v>Надземная прокладка трубопроводов водоснабжения с изоляцией минераловатными плитами и сталью тонколистовой, на низких опорах, диаметр труб: </v>
      </c>
      <c r="BG389" s="1630"/>
      <c r="BH389" s="1630"/>
      <c r="BI389" s="1641">
        <v>0</v>
      </c>
    </row>
    <row customHeight="1" ht="14.25">
      <c r="A390" s="1369"/>
      <c r="B390" s="1369"/>
      <c r="C390" s="1369"/>
      <c r="D390" s="1369"/>
      <c r="E390" s="2265"/>
      <c r="F390" s="2265"/>
      <c r="G390" s="2265"/>
      <c r="H390" s="2265"/>
      <c r="I390" s="2292"/>
      <c r="J390" s="2292"/>
      <c r="K390" s="2262" t="str">
        <f>S386&amp;".1"</f>
        <v>.1</v>
      </c>
      <c r="L390" s="1375"/>
      <c r="M390" s="1782"/>
      <c r="N390" s="1782"/>
      <c r="O390" s="1782"/>
      <c r="P390" s="2380"/>
      <c r="Q390" s="2380"/>
      <c r="R390" s="2353">
        <v>1</v>
      </c>
      <c r="S390" s="2347" t="str">
        <f>$K390</f>
        <v>.1</v>
      </c>
      <c r="T390" s="2366"/>
      <c r="U390" s="306"/>
      <c r="V390" s="757"/>
      <c r="W390" s="1263"/>
      <c r="X390" s="757"/>
      <c r="Y390" s="1263"/>
      <c r="Z390" s="2608"/>
      <c r="AA390" s="2113" t="s">
        <v>62</v>
      </c>
      <c r="AB390" s="2608"/>
      <c r="AC390" s="2113" t="s">
        <v>62</v>
      </c>
      <c r="AD390" s="2191" t="s">
        <v>62</v>
      </c>
      <c r="AE390" s="2332"/>
      <c r="AF390" s="2443">
        <v>1</v>
      </c>
      <c r="AG390" s="2369"/>
      <c r="AH390" s="2113" t="s">
        <v>62</v>
      </c>
      <c r="AI390" s="2332"/>
      <c r="AJ390" s="2443">
        <v>1</v>
      </c>
      <c r="AK390" s="2333" t="s">
        <v>28</v>
      </c>
      <c r="AL390" s="2113" t="s">
        <v>62</v>
      </c>
      <c r="AM390" s="2300"/>
      <c r="AN390" s="2443">
        <v>1</v>
      </c>
      <c r="AO390" s="2683" t="s">
        <v>28</v>
      </c>
      <c r="AP390" s="2364" t="s">
        <v>62</v>
      </c>
      <c r="AQ390" s="689" t="s">
        <v>253</v>
      </c>
      <c r="AR390" s="2443" t="s">
        <v>112</v>
      </c>
      <c r="AS390" s="2582" t="s">
        <v>541</v>
      </c>
      <c r="AT390" s="757"/>
      <c r="AU390" s="1263"/>
      <c r="AV390" s="757"/>
      <c r="AW390" s="1263">
        <v>8088.82</v>
      </c>
      <c r="AX390" s="2608">
        <v>46023.62310185185</v>
      </c>
      <c r="AY390" s="2113" t="s">
        <v>62</v>
      </c>
      <c r="AZ390" s="2608">
        <v>46387.64702546296</v>
      </c>
      <c r="BA390" s="2113" t="s">
        <v>62</v>
      </c>
      <c r="BB390" s="1354"/>
      <c r="BC390" s="2259" t="s">
        <v>514</v>
      </c>
      <c r="BD390" s="1648"/>
      <c r="BE390" s="1630"/>
      <c r="BF390" s="1630" t="str">
        <f>IF(T390="","",T390)</f>
        <v/>
      </c>
      <c r="BG390" s="1630"/>
      <c r="BH390" s="1630"/>
      <c r="BI390" s="1641">
        <v>0</v>
      </c>
    </row>
    <row customHeight="1" ht="14.25">
      <c r="A391" s="1369"/>
      <c r="B391" s="1369"/>
      <c r="C391" s="1369"/>
      <c r="D391" s="1369"/>
      <c r="E391" s="2265"/>
      <c r="F391" s="2265"/>
      <c r="G391" s="2265"/>
      <c r="H391" s="2265"/>
      <c r="I391" s="2292"/>
      <c r="J391" s="2292"/>
      <c r="K391" s="2262" t="str">
        <f>S65&amp;".12"</f>
        <v>2.1.1.12</v>
      </c>
      <c r="L391" s="1375"/>
      <c r="M391" s="1782"/>
      <c r="N391" s="1782"/>
      <c r="O391" s="1782"/>
      <c r="P391" s="2380"/>
      <c r="Q391" s="2380"/>
      <c r="R391" s="2353"/>
      <c r="S391" s="2348"/>
      <c r="T391" s="2367"/>
      <c r="U391" s="306"/>
      <c r="V391" s="6625"/>
      <c r="W391" s="6626"/>
      <c r="X391" s="6627"/>
      <c r="Y391" s="6628"/>
      <c r="Z391" s="6629"/>
      <c r="AA391" s="6630"/>
      <c r="AB391" s="6631"/>
      <c r="AC391" s="6632"/>
      <c r="AD391" s="2192"/>
      <c r="AE391" s="2332"/>
      <c r="AF391" s="2443"/>
      <c r="AG391" s="2682" t="s">
        <v>28</v>
      </c>
      <c r="AH391" s="2113"/>
      <c r="AI391" s="2332"/>
      <c r="AJ391" s="2443"/>
      <c r="AK391" s="2333"/>
      <c r="AL391" s="2113"/>
      <c r="AM391" s="2301"/>
      <c r="AN391" s="2443"/>
      <c r="AO391" s="2683" t="s">
        <v>28</v>
      </c>
      <c r="AP391" s="2365"/>
      <c r="AQ391" s="6633"/>
      <c r="AR391" s="6634"/>
      <c r="AS391" s="6635" t="s">
        <v>515</v>
      </c>
      <c r="AT391" s="6636"/>
      <c r="AU391" s="6637"/>
      <c r="AV391" s="6638"/>
      <c r="AW391" s="6639"/>
      <c r="AX391" s="6640"/>
      <c r="AY391" s="6641"/>
      <c r="AZ391" s="6642"/>
      <c r="BA391" s="6643"/>
      <c r="BB391" s="6644"/>
      <c r="BC391" s="2260"/>
      <c r="BD391" s="1648"/>
      <c r="BE391" s="1630"/>
      <c r="BF391" s="1630"/>
      <c r="BG391" s="1630"/>
      <c r="BH391" s="1630"/>
      <c r="BI391" s="1641">
        <v>0</v>
      </c>
    </row>
    <row customHeight="1" ht="14.25">
      <c r="A392" s="1369"/>
      <c r="B392" s="1369"/>
      <c r="C392" s="1369"/>
      <c r="D392" s="1369"/>
      <c r="E392" s="2265"/>
      <c r="F392" s="2265"/>
      <c r="G392" s="2265"/>
      <c r="H392" s="2265"/>
      <c r="I392" s="2292"/>
      <c r="J392" s="2292"/>
      <c r="K392" s="2262" t="str">
        <f>S65&amp;".12"</f>
        <v>2.1.1.12</v>
      </c>
      <c r="L392" s="1375"/>
      <c r="M392" s="1782"/>
      <c r="N392" s="1782"/>
      <c r="O392" s="1782"/>
      <c r="P392" s="2380"/>
      <c r="Q392" s="2380"/>
      <c r="R392" s="2353"/>
      <c r="S392" s="2348"/>
      <c r="T392" s="2367"/>
      <c r="U392" s="306"/>
      <c r="V392" s="6645"/>
      <c r="W392" s="6646"/>
      <c r="X392" s="6647"/>
      <c r="Y392" s="6648"/>
      <c r="Z392" s="6649"/>
      <c r="AA392" s="6650"/>
      <c r="AB392" s="6651"/>
      <c r="AC392" s="6652"/>
      <c r="AD392" s="2192"/>
      <c r="AE392" s="2332"/>
      <c r="AF392" s="2443"/>
      <c r="AG392" s="2682" t="s">
        <v>28</v>
      </c>
      <c r="AH392" s="2113"/>
      <c r="AI392" s="2332"/>
      <c r="AJ392" s="2443"/>
      <c r="AK392" s="2333"/>
      <c r="AL392" s="2113"/>
      <c r="AM392" s="6653"/>
      <c r="AN392" s="6654"/>
      <c r="AO392" s="6655" t="s">
        <v>516</v>
      </c>
      <c r="AP392" s="6656"/>
      <c r="AQ392" s="6657"/>
      <c r="AR392" s="6658"/>
      <c r="AS392" s="6659"/>
      <c r="AT392" s="6660"/>
      <c r="AU392" s="6661"/>
      <c r="AV392" s="6662"/>
      <c r="AW392" s="6663"/>
      <c r="AX392" s="6664"/>
      <c r="AY392" s="6665"/>
      <c r="AZ392" s="6666"/>
      <c r="BA392" s="6667"/>
      <c r="BB392" s="6668"/>
      <c r="BC392" s="2260"/>
      <c r="BD392" s="1648"/>
      <c r="BE392" s="1630"/>
      <c r="BF392" s="1630"/>
      <c r="BG392" s="1630"/>
      <c r="BH392" s="1630"/>
      <c r="BI392" s="1641">
        <v>0</v>
      </c>
    </row>
    <row customHeight="1" ht="14.25">
      <c r="A393" s="1369"/>
      <c r="B393" s="1369"/>
      <c r="C393" s="1369"/>
      <c r="D393" s="1369"/>
      <c r="E393" s="2265"/>
      <c r="F393" s="2265"/>
      <c r="G393" s="2265"/>
      <c r="H393" s="2265"/>
      <c r="I393" s="2292"/>
      <c r="J393" s="2292"/>
      <c r="K393" s="2262" t="str">
        <f>S389&amp;".1"</f>
        <v>2.1.1.13.1</v>
      </c>
      <c r="L393" s="1375"/>
      <c r="M393" s="1782"/>
      <c r="N393" s="1782"/>
      <c r="O393" s="1782"/>
      <c r="P393" s="2380"/>
      <c r="Q393" s="2380"/>
      <c r="R393" s="2353">
        <v>1</v>
      </c>
      <c r="S393" s="2347" t="str">
        <f>$K393</f>
        <v>2.1.1.13.1</v>
      </c>
      <c r="T393" s="2366"/>
      <c r="U393" s="306"/>
      <c r="V393" s="757"/>
      <c r="W393" s="1263"/>
      <c r="X393" s="757"/>
      <c r="Y393" s="1263"/>
      <c r="Z393" s="2608"/>
      <c r="AA393" s="2113" t="s">
        <v>62</v>
      </c>
      <c r="AB393" s="2608"/>
      <c r="AC393" s="2113" t="s">
        <v>62</v>
      </c>
      <c r="AD393" s="2191" t="s">
        <v>62</v>
      </c>
      <c r="AE393" s="2332"/>
      <c r="AF393" s="2443">
        <v>1</v>
      </c>
      <c r="AG393" s="2369"/>
      <c r="AH393" s="2113" t="s">
        <v>62</v>
      </c>
      <c r="AI393" s="689" t="s">
        <v>253</v>
      </c>
      <c r="AJ393" s="2443" t="s">
        <v>112</v>
      </c>
      <c r="AK393" s="2333" t="s">
        <v>533</v>
      </c>
      <c r="AL393" s="2113" t="s">
        <v>19</v>
      </c>
      <c r="AM393" s="2300"/>
      <c r="AN393" s="2443">
        <v>1</v>
      </c>
      <c r="AO393" s="2683" t="s">
        <v>28</v>
      </c>
      <c r="AP393" s="2364" t="s">
        <v>62</v>
      </c>
      <c r="AQ393" s="317"/>
      <c r="AR393" s="2443">
        <v>1</v>
      </c>
      <c r="AS393" s="2582" t="s">
        <v>541</v>
      </c>
      <c r="AT393" s="757"/>
      <c r="AU393" s="1263"/>
      <c r="AV393" s="757"/>
      <c r="AW393" s="1263">
        <v>9106.24</v>
      </c>
      <c r="AX393" s="2608">
        <v>46023.623136574075</v>
      </c>
      <c r="AY393" s="2113" t="s">
        <v>62</v>
      </c>
      <c r="AZ393" s="2608">
        <v>46387.64722222222</v>
      </c>
      <c r="BA393" s="2113" t="s">
        <v>62</v>
      </c>
      <c r="BB393" s="1354"/>
      <c r="BC393" s="2259" t="s">
        <v>514</v>
      </c>
      <c r="BD393" s="1648"/>
      <c r="BE393" s="1630"/>
      <c r="BF393" s="1630" t="str">
        <f>IF(T393="","",T393)</f>
        <v/>
      </c>
      <c r="BG393" s="1630"/>
      <c r="BH393" s="1630"/>
      <c r="BI393" s="1641">
        <v>0</v>
      </c>
    </row>
    <row customHeight="1" ht="14.25">
      <c r="A394" s="1369"/>
      <c r="B394" s="1369"/>
      <c r="C394" s="1369"/>
      <c r="D394" s="1369"/>
      <c r="E394" s="2265"/>
      <c r="F394" s="2265"/>
      <c r="G394" s="2265"/>
      <c r="H394" s="2265"/>
      <c r="I394" s="2292"/>
      <c r="J394" s="2292"/>
      <c r="K394" s="2262" t="str">
        <f>S390&amp;".1"</f>
        <v>.1.1</v>
      </c>
      <c r="L394" s="1375"/>
      <c r="M394" s="1782"/>
      <c r="N394" s="1782"/>
      <c r="O394" s="1782"/>
      <c r="P394" s="2380"/>
      <c r="Q394" s="2380"/>
      <c r="R394" s="2353">
        <v>1</v>
      </c>
      <c r="S394" s="2347" t="str">
        <f>$K394</f>
        <v>.1.1</v>
      </c>
      <c r="T394" s="2366"/>
      <c r="U394" s="306"/>
      <c r="V394" s="757"/>
      <c r="W394" s="1263"/>
      <c r="X394" s="757"/>
      <c r="Y394" s="1263"/>
      <c r="Z394" s="2608"/>
      <c r="AA394" s="2113" t="s">
        <v>62</v>
      </c>
      <c r="AB394" s="2608"/>
      <c r="AC394" s="2113" t="s">
        <v>62</v>
      </c>
      <c r="AD394" s="2191" t="s">
        <v>62</v>
      </c>
      <c r="AE394" s="2332"/>
      <c r="AF394" s="2443">
        <v>1</v>
      </c>
      <c r="AG394" s="2369"/>
      <c r="AH394" s="2113" t="s">
        <v>62</v>
      </c>
      <c r="AI394" s="2332"/>
      <c r="AJ394" s="2443">
        <v>1</v>
      </c>
      <c r="AK394" s="2333" t="s">
        <v>28</v>
      </c>
      <c r="AL394" s="2113" t="s">
        <v>62</v>
      </c>
      <c r="AM394" s="2300"/>
      <c r="AN394" s="2443">
        <v>1</v>
      </c>
      <c r="AO394" s="2683" t="s">
        <v>28</v>
      </c>
      <c r="AP394" s="2364" t="s">
        <v>62</v>
      </c>
      <c r="AQ394" s="689" t="s">
        <v>253</v>
      </c>
      <c r="AR394" s="2443" t="s">
        <v>112</v>
      </c>
      <c r="AS394" s="2582" t="s">
        <v>541</v>
      </c>
      <c r="AT394" s="757"/>
      <c r="AU394" s="1263"/>
      <c r="AV394" s="757"/>
      <c r="AW394" s="1263">
        <v>11286.61</v>
      </c>
      <c r="AX394" s="2608">
        <v>46023.6231712963</v>
      </c>
      <c r="AY394" s="2113" t="s">
        <v>62</v>
      </c>
      <c r="AZ394" s="2608">
        <v>46387.64743055555</v>
      </c>
      <c r="BA394" s="2113" t="s">
        <v>62</v>
      </c>
      <c r="BB394" s="1354"/>
      <c r="BC394" s="2259" t="s">
        <v>514</v>
      </c>
      <c r="BD394" s="1648"/>
      <c r="BE394" s="1630"/>
      <c r="BF394" s="1630" t="str">
        <f>IF(T394="","",T394)</f>
        <v/>
      </c>
      <c r="BG394" s="1630"/>
      <c r="BH394" s="1630"/>
      <c r="BI394" s="1641">
        <v>0</v>
      </c>
    </row>
    <row customHeight="1" ht="14.25">
      <c r="A395" s="1369"/>
      <c r="B395" s="1369"/>
      <c r="C395" s="1369"/>
      <c r="D395" s="1369"/>
      <c r="E395" s="2265"/>
      <c r="F395" s="2265"/>
      <c r="G395" s="2265"/>
      <c r="H395" s="2265"/>
      <c r="I395" s="2292"/>
      <c r="J395" s="2292"/>
      <c r="K395" s="2262"/>
      <c r="L395" s="1375"/>
      <c r="M395" s="1782"/>
      <c r="N395" s="1782"/>
      <c r="O395" s="1782"/>
      <c r="P395" s="2380"/>
      <c r="Q395" s="2380"/>
      <c r="R395" s="2353"/>
      <c r="S395" s="2348"/>
      <c r="T395" s="2367"/>
      <c r="U395" s="306"/>
      <c r="V395" s="6669"/>
      <c r="W395" s="6670"/>
      <c r="X395" s="6671"/>
      <c r="Y395" s="6672"/>
      <c r="Z395" s="6673"/>
      <c r="AA395" s="6674"/>
      <c r="AB395" s="6675"/>
      <c r="AC395" s="6676"/>
      <c r="AD395" s="2192"/>
      <c r="AE395" s="2332"/>
      <c r="AF395" s="2443"/>
      <c r="AG395" s="2369"/>
      <c r="AH395" s="2113"/>
      <c r="AI395" s="2332"/>
      <c r="AJ395" s="2443">
        <v>1</v>
      </c>
      <c r="AK395" s="2333"/>
      <c r="AL395" s="2113"/>
      <c r="AM395" s="2301"/>
      <c r="AN395" s="2443"/>
      <c r="AO395" s="2683" t="s">
        <v>28</v>
      </c>
      <c r="AP395" s="2365"/>
      <c r="AQ395" s="6677"/>
      <c r="AR395" s="6678"/>
      <c r="AS395" s="6679" t="s">
        <v>515</v>
      </c>
      <c r="AT395" s="6680"/>
      <c r="AU395" s="6681"/>
      <c r="AV395" s="6682"/>
      <c r="AW395" s="6683"/>
      <c r="AX395" s="6684"/>
      <c r="AY395" s="6685"/>
      <c r="AZ395" s="6686"/>
      <c r="BA395" s="6687"/>
      <c r="BB395" s="6688"/>
      <c r="BC395" s="2260"/>
      <c r="BD395" s="1648"/>
      <c r="BE395" s="1630"/>
      <c r="BF395" s="1630"/>
      <c r="BG395" s="1630"/>
      <c r="BH395" s="1630"/>
      <c r="BI395" s="1641">
        <v>0</v>
      </c>
    </row>
    <row customHeight="1" ht="14.25">
      <c r="A396" s="1369"/>
      <c r="B396" s="1369"/>
      <c r="C396" s="1369"/>
      <c r="D396" s="1369"/>
      <c r="E396" s="2265"/>
      <c r="F396" s="2265"/>
      <c r="G396" s="2265"/>
      <c r="H396" s="2265"/>
      <c r="I396" s="2292"/>
      <c r="J396" s="2292"/>
      <c r="K396" s="2262"/>
      <c r="L396" s="1375"/>
      <c r="M396" s="1782"/>
      <c r="N396" s="1782"/>
      <c r="O396" s="1782"/>
      <c r="P396" s="2380"/>
      <c r="Q396" s="2380"/>
      <c r="R396" s="2353"/>
      <c r="S396" s="2348"/>
      <c r="T396" s="2367"/>
      <c r="U396" s="306"/>
      <c r="V396" s="6689"/>
      <c r="W396" s="6690"/>
      <c r="X396" s="6691"/>
      <c r="Y396" s="6692"/>
      <c r="Z396" s="6693"/>
      <c r="AA396" s="6694"/>
      <c r="AB396" s="6695"/>
      <c r="AC396" s="6696"/>
      <c r="AD396" s="2192"/>
      <c r="AE396" s="2332"/>
      <c r="AF396" s="2443"/>
      <c r="AG396" s="2369"/>
      <c r="AH396" s="2113"/>
      <c r="AI396" s="2332"/>
      <c r="AJ396" s="2443">
        <v>1</v>
      </c>
      <c r="AK396" s="2333"/>
      <c r="AL396" s="2113"/>
      <c r="AM396" s="6697"/>
      <c r="AN396" s="6698"/>
      <c r="AO396" s="6699" t="s">
        <v>516</v>
      </c>
      <c r="AP396" s="6700"/>
      <c r="AQ396" s="6701"/>
      <c r="AR396" s="6702"/>
      <c r="AS396" s="6703"/>
      <c r="AT396" s="6704"/>
      <c r="AU396" s="6705"/>
      <c r="AV396" s="6706"/>
      <c r="AW396" s="6707"/>
      <c r="AX396" s="6708"/>
      <c r="AY396" s="6709"/>
      <c r="AZ396" s="6710"/>
      <c r="BA396" s="6711"/>
      <c r="BB396" s="6712"/>
      <c r="BC396" s="2260"/>
      <c r="BD396" s="1648"/>
      <c r="BE396" s="1630"/>
      <c r="BF396" s="1630"/>
      <c r="BG396" s="1630"/>
      <c r="BH396" s="1630"/>
      <c r="BI396" s="1641">
        <v>0</v>
      </c>
    </row>
    <row customHeight="1" ht="14.25">
      <c r="A397" s="1369"/>
      <c r="B397" s="1369"/>
      <c r="C397" s="1369"/>
      <c r="D397" s="1369"/>
      <c r="E397" s="2265"/>
      <c r="F397" s="2265"/>
      <c r="G397" s="2265"/>
      <c r="H397" s="2265"/>
      <c r="I397" s="2292"/>
      <c r="J397" s="2292"/>
      <c r="K397" s="2262" t="str">
        <f>S392&amp;".1"</f>
        <v>.1</v>
      </c>
      <c r="L397" s="1375"/>
      <c r="M397" s="1782"/>
      <c r="N397" s="1782"/>
      <c r="O397" s="1782"/>
      <c r="P397" s="2380"/>
      <c r="Q397" s="2380"/>
      <c r="R397" s="2353">
        <v>1</v>
      </c>
      <c r="S397" s="2347" t="str">
        <f>$K397</f>
        <v>.1</v>
      </c>
      <c r="T397" s="2366"/>
      <c r="U397" s="306"/>
      <c r="V397" s="757"/>
      <c r="W397" s="1263"/>
      <c r="X397" s="757"/>
      <c r="Y397" s="1263"/>
      <c r="Z397" s="2608"/>
      <c r="AA397" s="2113" t="s">
        <v>62</v>
      </c>
      <c r="AB397" s="2608"/>
      <c r="AC397" s="2113" t="s">
        <v>62</v>
      </c>
      <c r="AD397" s="2191" t="s">
        <v>62</v>
      </c>
      <c r="AE397" s="2332"/>
      <c r="AF397" s="2443">
        <v>1</v>
      </c>
      <c r="AG397" s="2369"/>
      <c r="AH397" s="2113" t="s">
        <v>62</v>
      </c>
      <c r="AI397" s="689" t="s">
        <v>253</v>
      </c>
      <c r="AJ397" s="2443" t="s">
        <v>91</v>
      </c>
      <c r="AK397" s="2333" t="s">
        <v>534</v>
      </c>
      <c r="AL397" s="2113" t="s">
        <v>19</v>
      </c>
      <c r="AM397" s="2300"/>
      <c r="AN397" s="2443">
        <v>1</v>
      </c>
      <c r="AO397" s="2683" t="s">
        <v>28</v>
      </c>
      <c r="AP397" s="2364" t="s">
        <v>62</v>
      </c>
      <c r="AQ397" s="317"/>
      <c r="AR397" s="2443">
        <v>1</v>
      </c>
      <c r="AS397" s="2582" t="s">
        <v>541</v>
      </c>
      <c r="AT397" s="757"/>
      <c r="AU397" s="1263"/>
      <c r="AV397" s="757"/>
      <c r="AW397" s="1263">
        <v>12825.69</v>
      </c>
      <c r="AX397" s="2608">
        <v>46023.623194444444</v>
      </c>
      <c r="AY397" s="2113" t="s">
        <v>62</v>
      </c>
      <c r="AZ397" s="2608">
        <v>46387.647523148145</v>
      </c>
      <c r="BA397" s="2113" t="s">
        <v>62</v>
      </c>
      <c r="BB397" s="1354"/>
      <c r="BC397" s="2259" t="s">
        <v>514</v>
      </c>
      <c r="BD397" s="1648"/>
      <c r="BE397" s="1630"/>
      <c r="BF397" s="1630" t="str">
        <f>IF(T397="","",T397)</f>
        <v/>
      </c>
      <c r="BG397" s="1630"/>
      <c r="BH397" s="1630"/>
      <c r="BI397" s="1641">
        <v>0</v>
      </c>
    </row>
    <row customHeight="1" ht="14.25">
      <c r="A398" s="1369"/>
      <c r="B398" s="1369"/>
      <c r="C398" s="1369"/>
      <c r="D398" s="1369"/>
      <c r="E398" s="2265"/>
      <c r="F398" s="2265"/>
      <c r="G398" s="2265"/>
      <c r="H398" s="2265"/>
      <c r="I398" s="2292"/>
      <c r="J398" s="2292"/>
      <c r="K398" s="2262" t="str">
        <f>S393&amp;".1"</f>
        <v>2.1.1.13.1.1</v>
      </c>
      <c r="L398" s="1375"/>
      <c r="M398" s="1782"/>
      <c r="N398" s="1782"/>
      <c r="O398" s="1782"/>
      <c r="P398" s="2380"/>
      <c r="Q398" s="2380"/>
      <c r="R398" s="2353">
        <v>1</v>
      </c>
      <c r="S398" s="2347" t="str">
        <f>$K398</f>
        <v>2.1.1.13.1.1</v>
      </c>
      <c r="T398" s="2366"/>
      <c r="U398" s="306"/>
      <c r="V398" s="757"/>
      <c r="W398" s="1263"/>
      <c r="X398" s="757"/>
      <c r="Y398" s="1263"/>
      <c r="Z398" s="2608"/>
      <c r="AA398" s="2113" t="s">
        <v>62</v>
      </c>
      <c r="AB398" s="2608"/>
      <c r="AC398" s="2113" t="s">
        <v>62</v>
      </c>
      <c r="AD398" s="2191" t="s">
        <v>62</v>
      </c>
      <c r="AE398" s="2332"/>
      <c r="AF398" s="2443">
        <v>1</v>
      </c>
      <c r="AG398" s="2369"/>
      <c r="AH398" s="2113" t="s">
        <v>62</v>
      </c>
      <c r="AI398" s="2332"/>
      <c r="AJ398" s="2443">
        <v>1</v>
      </c>
      <c r="AK398" s="2333" t="s">
        <v>28</v>
      </c>
      <c r="AL398" s="2113" t="s">
        <v>62</v>
      </c>
      <c r="AM398" s="2300"/>
      <c r="AN398" s="2443">
        <v>1</v>
      </c>
      <c r="AO398" s="2683" t="s">
        <v>28</v>
      </c>
      <c r="AP398" s="2364" t="s">
        <v>62</v>
      </c>
      <c r="AQ398" s="689" t="s">
        <v>253</v>
      </c>
      <c r="AR398" s="2443" t="s">
        <v>112</v>
      </c>
      <c r="AS398" s="2582" t="s">
        <v>541</v>
      </c>
      <c r="AT398" s="757"/>
      <c r="AU398" s="1263"/>
      <c r="AV398" s="757"/>
      <c r="AW398" s="1263">
        <v>13815.22</v>
      </c>
      <c r="AX398" s="2608">
        <v>46023.62322916667</v>
      </c>
      <c r="AY398" s="2113" t="s">
        <v>62</v>
      </c>
      <c r="AZ398" s="2608">
        <v>46387.64761574074</v>
      </c>
      <c r="BA398" s="2113" t="s">
        <v>62</v>
      </c>
      <c r="BB398" s="1354"/>
      <c r="BC398" s="2259" t="s">
        <v>514</v>
      </c>
      <c r="BD398" s="1648"/>
      <c r="BE398" s="1630"/>
      <c r="BF398" s="1630" t="str">
        <f>IF(T398="","",T398)</f>
        <v/>
      </c>
      <c r="BG398" s="1630"/>
      <c r="BH398" s="1630"/>
      <c r="BI398" s="1641">
        <v>0</v>
      </c>
    </row>
    <row customHeight="1" ht="14.25">
      <c r="A399" s="1369"/>
      <c r="B399" s="1369"/>
      <c r="C399" s="1369"/>
      <c r="D399" s="1369"/>
      <c r="E399" s="2265"/>
      <c r="F399" s="2265"/>
      <c r="G399" s="2265"/>
      <c r="H399" s="2265"/>
      <c r="I399" s="2292"/>
      <c r="J399" s="2292"/>
      <c r="K399" s="2262"/>
      <c r="L399" s="1375"/>
      <c r="M399" s="1782"/>
      <c r="N399" s="1782"/>
      <c r="O399" s="1782"/>
      <c r="P399" s="2380"/>
      <c r="Q399" s="2380"/>
      <c r="R399" s="2353"/>
      <c r="S399" s="2348"/>
      <c r="T399" s="2367"/>
      <c r="U399" s="306"/>
      <c r="V399" s="6713"/>
      <c r="W399" s="6714"/>
      <c r="X399" s="6715"/>
      <c r="Y399" s="6716"/>
      <c r="Z399" s="6717"/>
      <c r="AA399" s="6718"/>
      <c r="AB399" s="6719"/>
      <c r="AC399" s="6720"/>
      <c r="AD399" s="2192"/>
      <c r="AE399" s="2332"/>
      <c r="AF399" s="2443"/>
      <c r="AG399" s="2369"/>
      <c r="AH399" s="2113"/>
      <c r="AI399" s="2332"/>
      <c r="AJ399" s="2443" t="s">
        <v>112</v>
      </c>
      <c r="AK399" s="2333"/>
      <c r="AL399" s="2113"/>
      <c r="AM399" s="2301"/>
      <c r="AN399" s="2443"/>
      <c r="AO399" s="2683" t="s">
        <v>28</v>
      </c>
      <c r="AP399" s="2365"/>
      <c r="AQ399" s="6721"/>
      <c r="AR399" s="6722"/>
      <c r="AS399" s="6723" t="s">
        <v>515</v>
      </c>
      <c r="AT399" s="6724"/>
      <c r="AU399" s="6725"/>
      <c r="AV399" s="6726"/>
      <c r="AW399" s="6727"/>
      <c r="AX399" s="6728"/>
      <c r="AY399" s="6729"/>
      <c r="AZ399" s="6730"/>
      <c r="BA399" s="6731"/>
      <c r="BB399" s="6732"/>
      <c r="BC399" s="2260"/>
      <c r="BD399" s="1648"/>
      <c r="BE399" s="1630"/>
      <c r="BF399" s="1630"/>
      <c r="BG399" s="1630"/>
      <c r="BH399" s="1630"/>
      <c r="BI399" s="1641">
        <v>0</v>
      </c>
    </row>
    <row customHeight="1" ht="14.25">
      <c r="A400" s="1369"/>
      <c r="B400" s="1369"/>
      <c r="C400" s="1369"/>
      <c r="D400" s="1369"/>
      <c r="E400" s="2265"/>
      <c r="F400" s="2265"/>
      <c r="G400" s="2265"/>
      <c r="H400" s="2265"/>
      <c r="I400" s="2292"/>
      <c r="J400" s="2292"/>
      <c r="K400" s="2262"/>
      <c r="L400" s="1375"/>
      <c r="M400" s="1782"/>
      <c r="N400" s="1782"/>
      <c r="O400" s="1782"/>
      <c r="P400" s="2380"/>
      <c r="Q400" s="2380"/>
      <c r="R400" s="2353"/>
      <c r="S400" s="2348"/>
      <c r="T400" s="2367"/>
      <c r="U400" s="306"/>
      <c r="V400" s="6733"/>
      <c r="W400" s="6734"/>
      <c r="X400" s="6735"/>
      <c r="Y400" s="6736"/>
      <c r="Z400" s="6737"/>
      <c r="AA400" s="6738"/>
      <c r="AB400" s="6739"/>
      <c r="AC400" s="6740"/>
      <c r="AD400" s="2192"/>
      <c r="AE400" s="2332"/>
      <c r="AF400" s="2443"/>
      <c r="AG400" s="2369"/>
      <c r="AH400" s="2113"/>
      <c r="AI400" s="2332"/>
      <c r="AJ400" s="2443" t="s">
        <v>112</v>
      </c>
      <c r="AK400" s="2333"/>
      <c r="AL400" s="2113"/>
      <c r="AM400" s="6741"/>
      <c r="AN400" s="6742"/>
      <c r="AO400" s="6743" t="s">
        <v>516</v>
      </c>
      <c r="AP400" s="6744"/>
      <c r="AQ400" s="6745"/>
      <c r="AR400" s="6746"/>
      <c r="AS400" s="6747"/>
      <c r="AT400" s="6748"/>
      <c r="AU400" s="6749"/>
      <c r="AV400" s="6750"/>
      <c r="AW400" s="6751"/>
      <c r="AX400" s="6752"/>
      <c r="AY400" s="6753"/>
      <c r="AZ400" s="6754"/>
      <c r="BA400" s="6755"/>
      <c r="BB400" s="6756"/>
      <c r="BC400" s="2260"/>
      <c r="BD400" s="1648"/>
      <c r="BE400" s="1630"/>
      <c r="BF400" s="1630"/>
      <c r="BG400" s="1630"/>
      <c r="BH400" s="1630"/>
      <c r="BI400" s="1641">
        <v>0</v>
      </c>
    </row>
    <row customHeight="1" ht="14.25">
      <c r="A401" s="1369"/>
      <c r="B401" s="1369"/>
      <c r="C401" s="1369"/>
      <c r="D401" s="1369"/>
      <c r="E401" s="2265"/>
      <c r="F401" s="2265"/>
      <c r="G401" s="2265"/>
      <c r="H401" s="2265"/>
      <c r="I401" s="2292"/>
      <c r="J401" s="2292"/>
      <c r="K401" s="2262" t="str">
        <f>S396&amp;".1"</f>
        <v>.1</v>
      </c>
      <c r="L401" s="1375"/>
      <c r="M401" s="1782"/>
      <c r="N401" s="1782"/>
      <c r="O401" s="1782"/>
      <c r="P401" s="2380"/>
      <c r="Q401" s="2380"/>
      <c r="R401" s="2353">
        <v>1</v>
      </c>
      <c r="S401" s="2347" t="str">
        <f>$K401</f>
        <v>.1</v>
      </c>
      <c r="T401" s="2366"/>
      <c r="U401" s="306"/>
      <c r="V401" s="757"/>
      <c r="W401" s="1263"/>
      <c r="X401" s="757"/>
      <c r="Y401" s="1263"/>
      <c r="Z401" s="2608"/>
      <c r="AA401" s="2113" t="s">
        <v>62</v>
      </c>
      <c r="AB401" s="2608"/>
      <c r="AC401" s="2113" t="s">
        <v>62</v>
      </c>
      <c r="AD401" s="2191" t="s">
        <v>62</v>
      </c>
      <c r="AE401" s="2332"/>
      <c r="AF401" s="2443">
        <v>1</v>
      </c>
      <c r="AG401" s="2369"/>
      <c r="AH401" s="2113" t="s">
        <v>62</v>
      </c>
      <c r="AI401" s="689" t="s">
        <v>253</v>
      </c>
      <c r="AJ401" s="2443" t="s">
        <v>92</v>
      </c>
      <c r="AK401" s="2333" t="s">
        <v>535</v>
      </c>
      <c r="AL401" s="2113" t="s">
        <v>19</v>
      </c>
      <c r="AM401" s="2300"/>
      <c r="AN401" s="2443">
        <v>1</v>
      </c>
      <c r="AO401" s="2683" t="s">
        <v>28</v>
      </c>
      <c r="AP401" s="2364" t="s">
        <v>62</v>
      </c>
      <c r="AQ401" s="317"/>
      <c r="AR401" s="2443">
        <v>1</v>
      </c>
      <c r="AS401" s="2582" t="s">
        <v>541</v>
      </c>
      <c r="AT401" s="757"/>
      <c r="AU401" s="1263"/>
      <c r="AV401" s="757"/>
      <c r="AW401" s="1263">
        <v>17733.6</v>
      </c>
      <c r="AX401" s="2608">
        <v>46023.62327546296</v>
      </c>
      <c r="AY401" s="2113" t="s">
        <v>62</v>
      </c>
      <c r="AZ401" s="2608">
        <v>46387.647685185184</v>
      </c>
      <c r="BA401" s="2113" t="s">
        <v>62</v>
      </c>
      <c r="BB401" s="1354"/>
      <c r="BC401" s="2259" t="s">
        <v>514</v>
      </c>
      <c r="BD401" s="1648"/>
      <c r="BE401" s="1630"/>
      <c r="BF401" s="1630" t="str">
        <f>IF(T401="","",T401)</f>
        <v/>
      </c>
      <c r="BG401" s="1630"/>
      <c r="BH401" s="1630"/>
      <c r="BI401" s="1641">
        <v>0</v>
      </c>
    </row>
    <row customHeight="1" ht="14.25">
      <c r="A402" s="1369"/>
      <c r="B402" s="1369"/>
      <c r="C402" s="1369"/>
      <c r="D402" s="1369"/>
      <c r="E402" s="2265"/>
      <c r="F402" s="2265"/>
      <c r="G402" s="2265"/>
      <c r="H402" s="2265"/>
      <c r="I402" s="2292"/>
      <c r="J402" s="2292"/>
      <c r="K402" s="2262" t="str">
        <f>S398&amp;".1"</f>
        <v>2.1.1.13.1.1.1</v>
      </c>
      <c r="L402" s="1375"/>
      <c r="M402" s="1782"/>
      <c r="N402" s="1782"/>
      <c r="O402" s="1782"/>
      <c r="P402" s="2380"/>
      <c r="Q402" s="2380"/>
      <c r="R402" s="2353">
        <v>1</v>
      </c>
      <c r="S402" s="2347" t="str">
        <f>$K402</f>
        <v>2.1.1.13.1.1.1</v>
      </c>
      <c r="T402" s="2366"/>
      <c r="U402" s="306"/>
      <c r="V402" s="757"/>
      <c r="W402" s="1263"/>
      <c r="X402" s="757"/>
      <c r="Y402" s="1263"/>
      <c r="Z402" s="2608"/>
      <c r="AA402" s="2113" t="s">
        <v>62</v>
      </c>
      <c r="AB402" s="2608"/>
      <c r="AC402" s="2113" t="s">
        <v>62</v>
      </c>
      <c r="AD402" s="2191" t="s">
        <v>62</v>
      </c>
      <c r="AE402" s="2332"/>
      <c r="AF402" s="2443">
        <v>1</v>
      </c>
      <c r="AG402" s="2369"/>
      <c r="AH402" s="2113" t="s">
        <v>62</v>
      </c>
      <c r="AI402" s="2332"/>
      <c r="AJ402" s="2443">
        <v>1</v>
      </c>
      <c r="AK402" s="2333" t="s">
        <v>28</v>
      </c>
      <c r="AL402" s="2113" t="s">
        <v>62</v>
      </c>
      <c r="AM402" s="2300"/>
      <c r="AN402" s="2443">
        <v>1</v>
      </c>
      <c r="AO402" s="2683" t="s">
        <v>28</v>
      </c>
      <c r="AP402" s="2364" t="s">
        <v>62</v>
      </c>
      <c r="AQ402" s="689" t="s">
        <v>253</v>
      </c>
      <c r="AR402" s="2443" t="s">
        <v>112</v>
      </c>
      <c r="AS402" s="2582" t="s">
        <v>541</v>
      </c>
      <c r="AT402" s="757"/>
      <c r="AU402" s="1263"/>
      <c r="AV402" s="757"/>
      <c r="AW402" s="1263">
        <v>20502.01</v>
      </c>
      <c r="AX402" s="2608">
        <v>46023.62331018518</v>
      </c>
      <c r="AY402" s="2113" t="s">
        <v>62</v>
      </c>
      <c r="AZ402" s="2608">
        <v>46387.64778935185</v>
      </c>
      <c r="BA402" s="2113" t="s">
        <v>62</v>
      </c>
      <c r="BB402" s="1354"/>
      <c r="BC402" s="2259" t="s">
        <v>514</v>
      </c>
      <c r="BD402" s="1648"/>
      <c r="BE402" s="1630"/>
      <c r="BF402" s="1630" t="str">
        <f>IF(T402="","",T402)</f>
        <v/>
      </c>
      <c r="BG402" s="1630"/>
      <c r="BH402" s="1630"/>
      <c r="BI402" s="1641">
        <v>0</v>
      </c>
    </row>
    <row customHeight="1" ht="14.25">
      <c r="A403" s="1369"/>
      <c r="B403" s="1369"/>
      <c r="C403" s="1369"/>
      <c r="D403" s="1369"/>
      <c r="E403" s="2265"/>
      <c r="F403" s="2265"/>
      <c r="G403" s="2265"/>
      <c r="H403" s="2265"/>
      <c r="I403" s="2292"/>
      <c r="J403" s="2292"/>
      <c r="K403" s="2262"/>
      <c r="L403" s="1375"/>
      <c r="M403" s="1782"/>
      <c r="N403" s="1782"/>
      <c r="O403" s="1782"/>
      <c r="P403" s="2380"/>
      <c r="Q403" s="2380"/>
      <c r="R403" s="2353"/>
      <c r="S403" s="2348"/>
      <c r="T403" s="2367"/>
      <c r="U403" s="306"/>
      <c r="V403" s="6757"/>
      <c r="W403" s="6758"/>
      <c r="X403" s="6759"/>
      <c r="Y403" s="6760"/>
      <c r="Z403" s="6761"/>
      <c r="AA403" s="6762"/>
      <c r="AB403" s="6763"/>
      <c r="AC403" s="6764"/>
      <c r="AD403" s="2192"/>
      <c r="AE403" s="2332"/>
      <c r="AF403" s="2443"/>
      <c r="AG403" s="2369"/>
      <c r="AH403" s="2113"/>
      <c r="AI403" s="2332"/>
      <c r="AJ403" s="2443" t="s">
        <v>91</v>
      </c>
      <c r="AK403" s="2333"/>
      <c r="AL403" s="2113"/>
      <c r="AM403" s="2301"/>
      <c r="AN403" s="2443"/>
      <c r="AO403" s="2683" t="s">
        <v>28</v>
      </c>
      <c r="AP403" s="2365"/>
      <c r="AQ403" s="6765"/>
      <c r="AR403" s="6766"/>
      <c r="AS403" s="6767" t="s">
        <v>515</v>
      </c>
      <c r="AT403" s="6768"/>
      <c r="AU403" s="6769"/>
      <c r="AV403" s="6770"/>
      <c r="AW403" s="6771"/>
      <c r="AX403" s="6772"/>
      <c r="AY403" s="6773"/>
      <c r="AZ403" s="6774"/>
      <c r="BA403" s="6775"/>
      <c r="BB403" s="6776"/>
      <c r="BC403" s="2260"/>
      <c r="BD403" s="1648"/>
      <c r="BE403" s="1630"/>
      <c r="BF403" s="1630"/>
      <c r="BG403" s="1630"/>
      <c r="BH403" s="1630"/>
      <c r="BI403" s="1641">
        <v>0</v>
      </c>
    </row>
    <row customHeight="1" ht="14.25">
      <c r="A404" s="1369"/>
      <c r="B404" s="1369"/>
      <c r="C404" s="1369"/>
      <c r="D404" s="1369"/>
      <c r="E404" s="2265"/>
      <c r="F404" s="2265"/>
      <c r="G404" s="2265"/>
      <c r="H404" s="2265"/>
      <c r="I404" s="2292"/>
      <c r="J404" s="2292"/>
      <c r="K404" s="2262"/>
      <c r="L404" s="1375"/>
      <c r="M404" s="1782"/>
      <c r="N404" s="1782"/>
      <c r="O404" s="1782"/>
      <c r="P404" s="2380"/>
      <c r="Q404" s="2380"/>
      <c r="R404" s="2353"/>
      <c r="S404" s="2348"/>
      <c r="T404" s="2367"/>
      <c r="U404" s="306"/>
      <c r="V404" s="6777"/>
      <c r="W404" s="6778"/>
      <c r="X404" s="6779"/>
      <c r="Y404" s="6780"/>
      <c r="Z404" s="6781"/>
      <c r="AA404" s="6782"/>
      <c r="AB404" s="6783"/>
      <c r="AC404" s="6784"/>
      <c r="AD404" s="2192"/>
      <c r="AE404" s="2332"/>
      <c r="AF404" s="2443"/>
      <c r="AG404" s="2369"/>
      <c r="AH404" s="2113"/>
      <c r="AI404" s="2332"/>
      <c r="AJ404" s="2443" t="s">
        <v>91</v>
      </c>
      <c r="AK404" s="2333"/>
      <c r="AL404" s="2113"/>
      <c r="AM404" s="6785"/>
      <c r="AN404" s="6786"/>
      <c r="AO404" s="6787" t="s">
        <v>516</v>
      </c>
      <c r="AP404" s="6788"/>
      <c r="AQ404" s="6789"/>
      <c r="AR404" s="6790"/>
      <c r="AS404" s="6791"/>
      <c r="AT404" s="6792"/>
      <c r="AU404" s="6793"/>
      <c r="AV404" s="6794"/>
      <c r="AW404" s="6795"/>
      <c r="AX404" s="6796"/>
      <c r="AY404" s="6797"/>
      <c r="AZ404" s="6798"/>
      <c r="BA404" s="6799"/>
      <c r="BB404" s="6800"/>
      <c r="BC404" s="2260"/>
      <c r="BD404" s="1648"/>
      <c r="BE404" s="1630"/>
      <c r="BF404" s="1630"/>
      <c r="BG404" s="1630"/>
      <c r="BH404" s="1630"/>
      <c r="BI404" s="1641">
        <v>0</v>
      </c>
    </row>
    <row customHeight="1" ht="14.25">
      <c r="A405" s="1369"/>
      <c r="B405" s="1369"/>
      <c r="C405" s="1369"/>
      <c r="D405" s="1369"/>
      <c r="E405" s="2265"/>
      <c r="F405" s="2265"/>
      <c r="G405" s="2265"/>
      <c r="H405" s="2265"/>
      <c r="I405" s="2292"/>
      <c r="J405" s="2292"/>
      <c r="K405" s="2262" t="str">
        <f>S400&amp;".1"</f>
        <v>.1</v>
      </c>
      <c r="L405" s="1375"/>
      <c r="M405" s="1782"/>
      <c r="N405" s="1782"/>
      <c r="O405" s="1782"/>
      <c r="P405" s="2380"/>
      <c r="Q405" s="2380"/>
      <c r="R405" s="2353">
        <v>1</v>
      </c>
      <c r="S405" s="2347" t="str">
        <f>$K405</f>
        <v>.1</v>
      </c>
      <c r="T405" s="2366"/>
      <c r="U405" s="306"/>
      <c r="V405" s="757"/>
      <c r="W405" s="1263"/>
      <c r="X405" s="757"/>
      <c r="Y405" s="1263"/>
      <c r="Z405" s="2608"/>
      <c r="AA405" s="2113" t="s">
        <v>62</v>
      </c>
      <c r="AB405" s="2608"/>
      <c r="AC405" s="2113" t="s">
        <v>62</v>
      </c>
      <c r="AD405" s="2191" t="s">
        <v>62</v>
      </c>
      <c r="AE405" s="2332"/>
      <c r="AF405" s="2443">
        <v>1</v>
      </c>
      <c r="AG405" s="2369"/>
      <c r="AH405" s="2113" t="s">
        <v>62</v>
      </c>
      <c r="AI405" s="689" t="s">
        <v>253</v>
      </c>
      <c r="AJ405" s="2443" t="s">
        <v>113</v>
      </c>
      <c r="AK405" s="2333" t="s">
        <v>536</v>
      </c>
      <c r="AL405" s="2113" t="s">
        <v>19</v>
      </c>
      <c r="AM405" s="2300"/>
      <c r="AN405" s="2443">
        <v>1</v>
      </c>
      <c r="AO405" s="2683" t="s">
        <v>28</v>
      </c>
      <c r="AP405" s="2364" t="s">
        <v>62</v>
      </c>
      <c r="AQ405" s="317"/>
      <c r="AR405" s="2443">
        <v>1</v>
      </c>
      <c r="AS405" s="2582" t="s">
        <v>541</v>
      </c>
      <c r="AT405" s="757"/>
      <c r="AU405" s="1263"/>
      <c r="AV405" s="757"/>
      <c r="AW405" s="1263">
        <v>26010.55</v>
      </c>
      <c r="AX405" s="2608">
        <v>46023.623344907406</v>
      </c>
      <c r="AY405" s="2113" t="s">
        <v>62</v>
      </c>
      <c r="AZ405" s="2608">
        <v>46387.6478587963</v>
      </c>
      <c r="BA405" s="2113" t="s">
        <v>62</v>
      </c>
      <c r="BB405" s="1354"/>
      <c r="BC405" s="2259" t="s">
        <v>514</v>
      </c>
      <c r="BD405" s="1648"/>
      <c r="BE405" s="1630"/>
      <c r="BF405" s="1630" t="str">
        <f>IF(T405="","",T405)</f>
        <v/>
      </c>
      <c r="BG405" s="1630"/>
      <c r="BH405" s="1630"/>
      <c r="BI405" s="1641">
        <v>0</v>
      </c>
    </row>
    <row customHeight="1" ht="14.25">
      <c r="A406" s="1369"/>
      <c r="B406" s="1369"/>
      <c r="C406" s="1369"/>
      <c r="D406" s="1369"/>
      <c r="E406" s="2265"/>
      <c r="F406" s="2265"/>
      <c r="G406" s="2265"/>
      <c r="H406" s="2265"/>
      <c r="I406" s="2292"/>
      <c r="J406" s="2292"/>
      <c r="K406" s="2262"/>
      <c r="L406" s="1375"/>
      <c r="M406" s="1782"/>
      <c r="N406" s="1782"/>
      <c r="O406" s="1782"/>
      <c r="P406" s="2380"/>
      <c r="Q406" s="2380"/>
      <c r="R406" s="2353"/>
      <c r="S406" s="2348"/>
      <c r="T406" s="2367"/>
      <c r="U406" s="306"/>
      <c r="V406" s="6801"/>
      <c r="W406" s="6802"/>
      <c r="X406" s="6803"/>
      <c r="Y406" s="6804"/>
      <c r="Z406" s="6805"/>
      <c r="AA406" s="6806"/>
      <c r="AB406" s="6807"/>
      <c r="AC406" s="6808"/>
      <c r="AD406" s="2192"/>
      <c r="AE406" s="2332"/>
      <c r="AF406" s="2443"/>
      <c r="AG406" s="2369"/>
      <c r="AH406" s="2113"/>
      <c r="AI406" s="2332"/>
      <c r="AJ406" s="2443" t="s">
        <v>92</v>
      </c>
      <c r="AK406" s="2333"/>
      <c r="AL406" s="2113"/>
      <c r="AM406" s="2301"/>
      <c r="AN406" s="2443"/>
      <c r="AO406" s="2683" t="s">
        <v>28</v>
      </c>
      <c r="AP406" s="2365"/>
      <c r="AQ406" s="6809"/>
      <c r="AR406" s="6810"/>
      <c r="AS406" s="6811" t="s">
        <v>515</v>
      </c>
      <c r="AT406" s="6812"/>
      <c r="AU406" s="6813"/>
      <c r="AV406" s="6814"/>
      <c r="AW406" s="6815"/>
      <c r="AX406" s="6816"/>
      <c r="AY406" s="6817"/>
      <c r="AZ406" s="6818"/>
      <c r="BA406" s="6819"/>
      <c r="BB406" s="6820"/>
      <c r="BC406" s="2260"/>
      <c r="BD406" s="1648"/>
      <c r="BE406" s="1630"/>
      <c r="BF406" s="1630"/>
      <c r="BG406" s="1630"/>
      <c r="BH406" s="1630"/>
      <c r="BI406" s="1641">
        <v>0</v>
      </c>
    </row>
    <row customHeight="1" ht="14.25">
      <c r="A407" s="1369"/>
      <c r="B407" s="1369"/>
      <c r="C407" s="1369"/>
      <c r="D407" s="1369"/>
      <c r="E407" s="2265"/>
      <c r="F407" s="2265"/>
      <c r="G407" s="2265"/>
      <c r="H407" s="2265"/>
      <c r="I407" s="2292"/>
      <c r="J407" s="2292"/>
      <c r="K407" s="2262"/>
      <c r="L407" s="1375"/>
      <c r="M407" s="1782"/>
      <c r="N407" s="1782"/>
      <c r="O407" s="1782"/>
      <c r="P407" s="2380"/>
      <c r="Q407" s="2380"/>
      <c r="R407" s="2353"/>
      <c r="S407" s="2348"/>
      <c r="T407" s="2367"/>
      <c r="U407" s="306"/>
      <c r="V407" s="6821"/>
      <c r="W407" s="6822"/>
      <c r="X407" s="6823"/>
      <c r="Y407" s="6824"/>
      <c r="Z407" s="6825"/>
      <c r="AA407" s="6826"/>
      <c r="AB407" s="6827"/>
      <c r="AC407" s="6828"/>
      <c r="AD407" s="2192"/>
      <c r="AE407" s="2332"/>
      <c r="AF407" s="2443"/>
      <c r="AG407" s="2369"/>
      <c r="AH407" s="2113"/>
      <c r="AI407" s="2332"/>
      <c r="AJ407" s="2443" t="s">
        <v>92</v>
      </c>
      <c r="AK407" s="2333"/>
      <c r="AL407" s="2113"/>
      <c r="AM407" s="6829"/>
      <c r="AN407" s="6830"/>
      <c r="AO407" s="6831" t="s">
        <v>516</v>
      </c>
      <c r="AP407" s="6832"/>
      <c r="AQ407" s="6833"/>
      <c r="AR407" s="6834"/>
      <c r="AS407" s="6835"/>
      <c r="AT407" s="6836"/>
      <c r="AU407" s="6837"/>
      <c r="AV407" s="6838"/>
      <c r="AW407" s="6839"/>
      <c r="AX407" s="6840"/>
      <c r="AY407" s="6841"/>
      <c r="AZ407" s="6842"/>
      <c r="BA407" s="6843"/>
      <c r="BB407" s="6844"/>
      <c r="BC407" s="2260"/>
      <c r="BD407" s="1648"/>
      <c r="BE407" s="1630"/>
      <c r="BF407" s="1630"/>
      <c r="BG407" s="1630"/>
      <c r="BH407" s="1630"/>
      <c r="BI407" s="1641">
        <v>0</v>
      </c>
    </row>
    <row customHeight="1" ht="14.25">
      <c r="A408" s="1369"/>
      <c r="B408" s="1369"/>
      <c r="C408" s="1369"/>
      <c r="D408" s="1369"/>
      <c r="E408" s="2265"/>
      <c r="F408" s="2265"/>
      <c r="G408" s="2265"/>
      <c r="H408" s="2265"/>
      <c r="I408" s="2292"/>
      <c r="J408" s="2292"/>
      <c r="K408" s="2262" t="str">
        <f>S404&amp;".1"</f>
        <v>.1</v>
      </c>
      <c r="L408" s="1375"/>
      <c r="M408" s="1782"/>
      <c r="N408" s="1782"/>
      <c r="O408" s="1782"/>
      <c r="P408" s="2380"/>
      <c r="Q408" s="2380"/>
      <c r="R408" s="2353">
        <v>1</v>
      </c>
      <c r="S408" s="2347" t="str">
        <f>$K408</f>
        <v>.1</v>
      </c>
      <c r="T408" s="2366"/>
      <c r="U408" s="306"/>
      <c r="V408" s="757"/>
      <c r="W408" s="1263"/>
      <c r="X408" s="757"/>
      <c r="Y408" s="1263"/>
      <c r="Z408" s="2608"/>
      <c r="AA408" s="2113" t="s">
        <v>62</v>
      </c>
      <c r="AB408" s="2608"/>
      <c r="AC408" s="2113" t="s">
        <v>62</v>
      </c>
      <c r="AD408" s="2191" t="s">
        <v>62</v>
      </c>
      <c r="AE408" s="2332"/>
      <c r="AF408" s="2443">
        <v>1</v>
      </c>
      <c r="AG408" s="2369"/>
      <c r="AH408" s="2113" t="s">
        <v>62</v>
      </c>
      <c r="AI408" s="689" t="s">
        <v>253</v>
      </c>
      <c r="AJ408" s="2443" t="s">
        <v>93</v>
      </c>
      <c r="AK408" s="2333" t="s">
        <v>537</v>
      </c>
      <c r="AL408" s="2113" t="s">
        <v>19</v>
      </c>
      <c r="AM408" s="2300"/>
      <c r="AN408" s="2443">
        <v>1</v>
      </c>
      <c r="AO408" s="2683" t="s">
        <v>28</v>
      </c>
      <c r="AP408" s="2364" t="s">
        <v>62</v>
      </c>
      <c r="AQ408" s="317"/>
      <c r="AR408" s="2443">
        <v>1</v>
      </c>
      <c r="AS408" s="2582" t="s">
        <v>541</v>
      </c>
      <c r="AT408" s="757"/>
      <c r="AU408" s="1263"/>
      <c r="AV408" s="757"/>
      <c r="AW408" s="1263">
        <v>32928.96</v>
      </c>
      <c r="AX408" s="2608">
        <v>46023.623402777775</v>
      </c>
      <c r="AY408" s="2113" t="s">
        <v>62</v>
      </c>
      <c r="AZ408" s="2608">
        <v>46387.64795138889</v>
      </c>
      <c r="BA408" s="2113" t="s">
        <v>62</v>
      </c>
      <c r="BB408" s="1354"/>
      <c r="BC408" s="2259" t="s">
        <v>514</v>
      </c>
      <c r="BD408" s="1648"/>
      <c r="BE408" s="1630"/>
      <c r="BF408" s="1630" t="str">
        <f>IF(T408="","",T408)</f>
        <v/>
      </c>
      <c r="BG408" s="1630"/>
      <c r="BH408" s="1630"/>
      <c r="BI408" s="1641">
        <v>0</v>
      </c>
    </row>
    <row customHeight="1" ht="14.25">
      <c r="A409" s="1369"/>
      <c r="B409" s="1369"/>
      <c r="C409" s="1369"/>
      <c r="D409" s="1369"/>
      <c r="E409" s="2265"/>
      <c r="F409" s="2265"/>
      <c r="G409" s="2265"/>
      <c r="H409" s="2265"/>
      <c r="I409" s="2292"/>
      <c r="J409" s="2292"/>
      <c r="K409" s="2262"/>
      <c r="L409" s="1375"/>
      <c r="M409" s="1782"/>
      <c r="N409" s="1782"/>
      <c r="O409" s="1782"/>
      <c r="P409" s="2380"/>
      <c r="Q409" s="2380"/>
      <c r="R409" s="2353"/>
      <c r="S409" s="2348"/>
      <c r="T409" s="2367"/>
      <c r="U409" s="306"/>
      <c r="V409" s="6845"/>
      <c r="W409" s="6846"/>
      <c r="X409" s="6847"/>
      <c r="Y409" s="6848"/>
      <c r="Z409" s="6849"/>
      <c r="AA409" s="6850"/>
      <c r="AB409" s="6851"/>
      <c r="AC409" s="6852"/>
      <c r="AD409" s="2192"/>
      <c r="AE409" s="2332"/>
      <c r="AF409" s="2443"/>
      <c r="AG409" s="2369"/>
      <c r="AH409" s="2113"/>
      <c r="AI409" s="2332"/>
      <c r="AJ409" s="2443" t="s">
        <v>113</v>
      </c>
      <c r="AK409" s="2333"/>
      <c r="AL409" s="2113"/>
      <c r="AM409" s="2301"/>
      <c r="AN409" s="2443"/>
      <c r="AO409" s="2683" t="s">
        <v>28</v>
      </c>
      <c r="AP409" s="2365"/>
      <c r="AQ409" s="6853"/>
      <c r="AR409" s="6854"/>
      <c r="AS409" s="6855" t="s">
        <v>515</v>
      </c>
      <c r="AT409" s="6856"/>
      <c r="AU409" s="6857"/>
      <c r="AV409" s="6858"/>
      <c r="AW409" s="6859"/>
      <c r="AX409" s="6860"/>
      <c r="AY409" s="6861"/>
      <c r="AZ409" s="6862"/>
      <c r="BA409" s="6863"/>
      <c r="BB409" s="6864"/>
      <c r="BC409" s="2260"/>
      <c r="BD409" s="1648"/>
      <c r="BE409" s="1630"/>
      <c r="BF409" s="1630"/>
      <c r="BG409" s="1630"/>
      <c r="BH409" s="1630"/>
      <c r="BI409" s="1641">
        <v>0</v>
      </c>
    </row>
    <row customHeight="1" ht="14.25">
      <c r="A410" s="1369"/>
      <c r="B410" s="1369"/>
      <c r="C410" s="1369"/>
      <c r="D410" s="1369"/>
      <c r="E410" s="2265"/>
      <c r="F410" s="2265"/>
      <c r="G410" s="2265"/>
      <c r="H410" s="2265"/>
      <c r="I410" s="2292"/>
      <c r="J410" s="2292"/>
      <c r="K410" s="2262"/>
      <c r="L410" s="1375"/>
      <c r="M410" s="1782"/>
      <c r="N410" s="1782"/>
      <c r="O410" s="1782"/>
      <c r="P410" s="2380"/>
      <c r="Q410" s="2380"/>
      <c r="R410" s="2353"/>
      <c r="S410" s="2348"/>
      <c r="T410" s="2367"/>
      <c r="U410" s="306"/>
      <c r="V410" s="6865"/>
      <c r="W410" s="6866"/>
      <c r="X410" s="6867"/>
      <c r="Y410" s="6868"/>
      <c r="Z410" s="6869"/>
      <c r="AA410" s="6870"/>
      <c r="AB410" s="6871"/>
      <c r="AC410" s="6872"/>
      <c r="AD410" s="2192"/>
      <c r="AE410" s="2332"/>
      <c r="AF410" s="2443"/>
      <c r="AG410" s="2369"/>
      <c r="AH410" s="2113"/>
      <c r="AI410" s="2332"/>
      <c r="AJ410" s="2443" t="s">
        <v>113</v>
      </c>
      <c r="AK410" s="2333"/>
      <c r="AL410" s="2113"/>
      <c r="AM410" s="6873"/>
      <c r="AN410" s="6874"/>
      <c r="AO410" s="6875" t="s">
        <v>516</v>
      </c>
      <c r="AP410" s="6876"/>
      <c r="AQ410" s="6877"/>
      <c r="AR410" s="6878"/>
      <c r="AS410" s="6879"/>
      <c r="AT410" s="6880"/>
      <c r="AU410" s="6881"/>
      <c r="AV410" s="6882"/>
      <c r="AW410" s="6883"/>
      <c r="AX410" s="6884"/>
      <c r="AY410" s="6885"/>
      <c r="AZ410" s="6886"/>
      <c r="BA410" s="6887"/>
      <c r="BB410" s="6888"/>
      <c r="BC410" s="2260"/>
      <c r="BD410" s="1648"/>
      <c r="BE410" s="1630"/>
      <c r="BF410" s="1630"/>
      <c r="BG410" s="1630"/>
      <c r="BH410" s="1630"/>
      <c r="BI410" s="1641">
        <v>0</v>
      </c>
    </row>
    <row customHeight="1" ht="14.25">
      <c r="A411" s="1369"/>
      <c r="B411" s="1369"/>
      <c r="C411" s="1369"/>
      <c r="D411" s="1369"/>
      <c r="E411" s="2265"/>
      <c r="F411" s="2265"/>
      <c r="G411" s="2265"/>
      <c r="H411" s="2265"/>
      <c r="I411" s="2292"/>
      <c r="J411" s="2292"/>
      <c r="K411" s="2262" t="str">
        <f>S65&amp;".12"</f>
        <v>2.1.1.12</v>
      </c>
      <c r="L411" s="1375"/>
      <c r="M411" s="1782"/>
      <c r="N411" s="1782"/>
      <c r="O411" s="1782"/>
      <c r="P411" s="2380"/>
      <c r="Q411" s="2380"/>
      <c r="R411" s="2353"/>
      <c r="S411" s="2348"/>
      <c r="T411" s="2367"/>
      <c r="U411" s="306"/>
      <c r="V411" s="6889"/>
      <c r="W411" s="6890"/>
      <c r="X411" s="6891"/>
      <c r="Y411" s="6892"/>
      <c r="Z411" s="6893"/>
      <c r="AA411" s="6894"/>
      <c r="AB411" s="6895"/>
      <c r="AC411" s="6896"/>
      <c r="AD411" s="2192"/>
      <c r="AE411" s="2332"/>
      <c r="AF411" s="2443"/>
      <c r="AG411" s="2682" t="s">
        <v>28</v>
      </c>
      <c r="AH411" s="2113"/>
      <c r="AI411" s="6897"/>
      <c r="AJ411" s="6898"/>
      <c r="AK411" s="6899" t="s">
        <v>517</v>
      </c>
      <c r="AL411" s="6900"/>
      <c r="AM411" s="6901"/>
      <c r="AN411" s="6902"/>
      <c r="AO411" s="6903"/>
      <c r="AP411" s="6904"/>
      <c r="AQ411" s="6905"/>
      <c r="AR411" s="6906"/>
      <c r="AS411" s="6907"/>
      <c r="AT411" s="6908"/>
      <c r="AU411" s="6909"/>
      <c r="AV411" s="6910"/>
      <c r="AW411" s="6911"/>
      <c r="AX411" s="6912"/>
      <c r="AY411" s="6913"/>
      <c r="AZ411" s="6914"/>
      <c r="BA411" s="6915"/>
      <c r="BB411" s="6916"/>
      <c r="BC411" s="2260"/>
      <c r="BD411" s="1648"/>
      <c r="BE411" s="1630"/>
      <c r="BF411" s="1630"/>
      <c r="BG411" s="1630"/>
      <c r="BH411" s="1630"/>
      <c r="BI411" s="1641">
        <v>0</v>
      </c>
    </row>
    <row customHeight="1" ht="14.25">
      <c r="A412" s="1369"/>
      <c r="B412" s="1369"/>
      <c r="C412" s="1369"/>
      <c r="D412" s="1369"/>
      <c r="E412" s="2265"/>
      <c r="F412" s="2265"/>
      <c r="G412" s="2265"/>
      <c r="H412" s="2265"/>
      <c r="I412" s="2292"/>
      <c r="J412" s="2292"/>
      <c r="K412" s="2262" t="str">
        <f>S65&amp;".12"</f>
        <v>2.1.1.12</v>
      </c>
      <c r="L412" s="1375"/>
      <c r="M412" s="1782"/>
      <c r="N412" s="1782"/>
      <c r="O412" s="1782"/>
      <c r="P412" s="2380"/>
      <c r="Q412" s="2380"/>
      <c r="R412" s="2353"/>
      <c r="S412" s="2349"/>
      <c r="T412" s="2368"/>
      <c r="U412" s="306"/>
      <c r="V412" s="6917"/>
      <c r="W412" s="6918" t="str">
        <f>Z389&amp;"-"&amp;AB389</f>
        <v>-</v>
      </c>
      <c r="X412" s="6919"/>
      <c r="Y412" s="6920" t="str">
        <f>AB389&amp;"-"&amp;AD389</f>
        <v>-нет</v>
      </c>
      <c r="Z412" s="6921"/>
      <c r="AA412" s="6922"/>
      <c r="AB412" s="6923"/>
      <c r="AC412" s="6924"/>
      <c r="AD412" s="2118"/>
      <c r="AE412" s="6925"/>
      <c r="AF412" s="6926"/>
      <c r="AG412" s="6927" t="s">
        <v>518</v>
      </c>
      <c r="AH412" s="6928"/>
      <c r="AI412" s="6929"/>
      <c r="AJ412" s="6930"/>
      <c r="AK412" s="6931"/>
      <c r="AL412" s="6932"/>
      <c r="AM412" s="6933"/>
      <c r="AN412" s="6934"/>
      <c r="AO412" s="6935"/>
      <c r="AP412" s="6936"/>
      <c r="AQ412" s="6937"/>
      <c r="AR412" s="6938"/>
      <c r="AS412" s="6939"/>
      <c r="AT412" s="6940"/>
      <c r="AU412" s="6941" t="str">
        <f>AX389&amp;"-"&amp;AZ389</f>
        <v>46023.623078703706-46387.646944444445</v>
      </c>
      <c r="AV412" s="6942"/>
      <c r="AW412" s="6943" t="str">
        <f>AZ389&amp;"-"&amp;BB389</f>
        <v>46387.646944444445-</v>
      </c>
      <c r="AX412" s="6944"/>
      <c r="AY412" s="6945"/>
      <c r="AZ412" s="6946"/>
      <c r="BA412" s="6947"/>
      <c r="BB412" s="6948" t="str">
        <f>BE389&amp;"-"&amp;BG389</f>
        <v>-</v>
      </c>
      <c r="BC412" s="2260"/>
      <c r="BD412" s="1648"/>
      <c r="BE412" s="1630"/>
      <c r="BF412" s="1630" t="str">
        <f>IF(T412="","",T412)</f>
        <v/>
      </c>
      <c r="BG412" s="1630"/>
      <c r="BH412" s="1630"/>
      <c r="BI412" s="1641">
        <v>0</v>
      </c>
    </row>
    <row customHeight="1" ht="14.25">
      <c r="A413" s="1369"/>
      <c r="B413" s="1369"/>
      <c r="C413" s="1369"/>
      <c r="D413" s="1369"/>
      <c r="E413" s="2265"/>
      <c r="F413" s="2265"/>
      <c r="G413" s="2265"/>
      <c r="H413" s="2265"/>
      <c r="I413" s="2292"/>
      <c r="J413" s="2292"/>
      <c r="K413" s="2262" t="str">
        <f>S65&amp;".14"</f>
        <v>2.1.1.14</v>
      </c>
      <c r="L413" s="1375"/>
      <c r="M413" s="1782"/>
      <c r="N413" s="1782"/>
      <c r="O413" s="1782"/>
      <c r="P413" s="2380"/>
      <c r="Q413" s="2380"/>
      <c r="R413" s="689" t="s">
        <v>253</v>
      </c>
      <c r="S413" s="2347" t="str">
        <f>$K413</f>
        <v>2.1.1.14</v>
      </c>
      <c r="T413" s="2366" t="s">
        <v>551</v>
      </c>
      <c r="U413" s="306"/>
      <c r="V413" s="757"/>
      <c r="W413" s="1263"/>
      <c r="X413" s="757"/>
      <c r="Y413" s="1263"/>
      <c r="Z413" s="2608"/>
      <c r="AA413" s="2113" t="s">
        <v>62</v>
      </c>
      <c r="AB413" s="2608"/>
      <c r="AC413" s="2113" t="s">
        <v>62</v>
      </c>
      <c r="AD413" s="2191" t="s">
        <v>19</v>
      </c>
      <c r="AE413" s="2332"/>
      <c r="AF413" s="2443">
        <v>1</v>
      </c>
      <c r="AG413" s="2682" t="s">
        <v>28</v>
      </c>
      <c r="AH413" s="2113" t="s">
        <v>62</v>
      </c>
      <c r="AI413" s="2332"/>
      <c r="AJ413" s="2443">
        <v>1</v>
      </c>
      <c r="AK413" s="2333" t="s">
        <v>532</v>
      </c>
      <c r="AL413" s="2113" t="s">
        <v>19</v>
      </c>
      <c r="AM413" s="2300"/>
      <c r="AN413" s="2443">
        <v>1</v>
      </c>
      <c r="AO413" s="2683" t="s">
        <v>28</v>
      </c>
      <c r="AP413" s="2364" t="s">
        <v>62</v>
      </c>
      <c r="AQ413" s="317"/>
      <c r="AR413" s="2443">
        <v>1</v>
      </c>
      <c r="AS413" s="2582" t="s">
        <v>541</v>
      </c>
      <c r="AT413" s="757"/>
      <c r="AU413" s="1263"/>
      <c r="AV413" s="757"/>
      <c r="AW413" s="1263">
        <v>4211.24</v>
      </c>
      <c r="AX413" s="2608">
        <v>46023.623449074075</v>
      </c>
      <c r="AY413" s="2113" t="s">
        <v>62</v>
      </c>
      <c r="AZ413" s="2608">
        <v>46387.648148148146</v>
      </c>
      <c r="BA413" s="2113" t="s">
        <v>62</v>
      </c>
      <c r="BB413" s="1354"/>
      <c r="BC413" s="2259" t="s">
        <v>514</v>
      </c>
      <c r="BD413" s="1648"/>
      <c r="BE413" s="1630"/>
      <c r="BF413" s="1630" t="str">
        <f>IF(T413="","",T413)</f>
        <v>Надземная прокладка трубопроводов водоснабжения в изоляции из пенополиуретана(ППУ),на низких опорах, диаметр труб: </v>
      </c>
      <c r="BG413" s="1630"/>
      <c r="BH413" s="1630"/>
      <c r="BI413" s="1641">
        <v>0</v>
      </c>
    </row>
    <row customHeight="1" ht="14.25">
      <c r="A414" s="1369"/>
      <c r="B414" s="1369"/>
      <c r="C414" s="1369"/>
      <c r="D414" s="1369"/>
      <c r="E414" s="2265"/>
      <c r="F414" s="2265"/>
      <c r="G414" s="2265"/>
      <c r="H414" s="2265"/>
      <c r="I414" s="2292"/>
      <c r="J414" s="2292"/>
      <c r="K414" s="2262" t="str">
        <f>S410&amp;".1"</f>
        <v>.1</v>
      </c>
      <c r="L414" s="1375"/>
      <c r="M414" s="1782"/>
      <c r="N414" s="1782"/>
      <c r="O414" s="1782"/>
      <c r="P414" s="2380"/>
      <c r="Q414" s="2380"/>
      <c r="R414" s="2353">
        <v>1</v>
      </c>
      <c r="S414" s="2347" t="str">
        <f>$K414</f>
        <v>.1</v>
      </c>
      <c r="T414" s="2366"/>
      <c r="U414" s="306"/>
      <c r="V414" s="757"/>
      <c r="W414" s="1263"/>
      <c r="X414" s="757"/>
      <c r="Y414" s="1263"/>
      <c r="Z414" s="2608"/>
      <c r="AA414" s="2113" t="s">
        <v>62</v>
      </c>
      <c r="AB414" s="2608"/>
      <c r="AC414" s="2113" t="s">
        <v>62</v>
      </c>
      <c r="AD414" s="2191" t="s">
        <v>62</v>
      </c>
      <c r="AE414" s="2332"/>
      <c r="AF414" s="2443">
        <v>1</v>
      </c>
      <c r="AG414" s="2369"/>
      <c r="AH414" s="2113" t="s">
        <v>62</v>
      </c>
      <c r="AI414" s="2332"/>
      <c r="AJ414" s="2443">
        <v>1</v>
      </c>
      <c r="AK414" s="2333" t="s">
        <v>28</v>
      </c>
      <c r="AL414" s="2113" t="s">
        <v>62</v>
      </c>
      <c r="AM414" s="2300"/>
      <c r="AN414" s="2443">
        <v>1</v>
      </c>
      <c r="AO414" s="2683" t="s">
        <v>28</v>
      </c>
      <c r="AP414" s="2364" t="s">
        <v>62</v>
      </c>
      <c r="AQ414" s="689" t="s">
        <v>253</v>
      </c>
      <c r="AR414" s="2443" t="s">
        <v>112</v>
      </c>
      <c r="AS414" s="2582" t="s">
        <v>541</v>
      </c>
      <c r="AT414" s="757"/>
      <c r="AU414" s="1263"/>
      <c r="AV414" s="757"/>
      <c r="AW414" s="1263">
        <v>5615.57</v>
      </c>
      <c r="AX414" s="2608">
        <v>46023.62347222222</v>
      </c>
      <c r="AY414" s="2113" t="s">
        <v>62</v>
      </c>
      <c r="AZ414" s="2608">
        <v>46387.64832175926</v>
      </c>
      <c r="BA414" s="2113" t="s">
        <v>62</v>
      </c>
      <c r="BB414" s="1354"/>
      <c r="BC414" s="2259" t="s">
        <v>514</v>
      </c>
      <c r="BD414" s="1648"/>
      <c r="BE414" s="1630"/>
      <c r="BF414" s="1630" t="str">
        <f>IF(T414="","",T414)</f>
        <v/>
      </c>
      <c r="BG414" s="1630"/>
      <c r="BH414" s="1630"/>
      <c r="BI414" s="1641">
        <v>0</v>
      </c>
    </row>
    <row customHeight="1" ht="14.25">
      <c r="A415" s="1369"/>
      <c r="B415" s="1369"/>
      <c r="C415" s="1369"/>
      <c r="D415" s="1369"/>
      <c r="E415" s="2265"/>
      <c r="F415" s="2265"/>
      <c r="G415" s="2265"/>
      <c r="H415" s="2265"/>
      <c r="I415" s="2292"/>
      <c r="J415" s="2292"/>
      <c r="K415" s="2262" t="str">
        <f>S65&amp;".13"</f>
        <v>2.1.1.13</v>
      </c>
      <c r="L415" s="1375"/>
      <c r="M415" s="1782"/>
      <c r="N415" s="1782"/>
      <c r="O415" s="1782"/>
      <c r="P415" s="2380"/>
      <c r="Q415" s="2380"/>
      <c r="R415" s="2353"/>
      <c r="S415" s="2348"/>
      <c r="T415" s="2367"/>
      <c r="U415" s="306"/>
      <c r="V415" s="6949"/>
      <c r="W415" s="6950"/>
      <c r="X415" s="6951"/>
      <c r="Y415" s="6952"/>
      <c r="Z415" s="6953"/>
      <c r="AA415" s="6954"/>
      <c r="AB415" s="6955"/>
      <c r="AC415" s="6956"/>
      <c r="AD415" s="2192"/>
      <c r="AE415" s="2332"/>
      <c r="AF415" s="2443"/>
      <c r="AG415" s="2682" t="s">
        <v>28</v>
      </c>
      <c r="AH415" s="2113"/>
      <c r="AI415" s="2332"/>
      <c r="AJ415" s="2443"/>
      <c r="AK415" s="2333"/>
      <c r="AL415" s="2113"/>
      <c r="AM415" s="2301"/>
      <c r="AN415" s="2443"/>
      <c r="AO415" s="2683" t="s">
        <v>28</v>
      </c>
      <c r="AP415" s="2365"/>
      <c r="AQ415" s="6957"/>
      <c r="AR415" s="6958"/>
      <c r="AS415" s="6959" t="s">
        <v>515</v>
      </c>
      <c r="AT415" s="6960"/>
      <c r="AU415" s="6961"/>
      <c r="AV415" s="6962"/>
      <c r="AW415" s="6963"/>
      <c r="AX415" s="6964"/>
      <c r="AY415" s="6965"/>
      <c r="AZ415" s="6966"/>
      <c r="BA415" s="6967"/>
      <c r="BB415" s="6968"/>
      <c r="BC415" s="2260"/>
      <c r="BD415" s="1648"/>
      <c r="BE415" s="1630"/>
      <c r="BF415" s="1630"/>
      <c r="BG415" s="1630"/>
      <c r="BH415" s="1630"/>
      <c r="BI415" s="1641">
        <v>0</v>
      </c>
    </row>
    <row customHeight="1" ht="14.25">
      <c r="A416" s="1369"/>
      <c r="B416" s="1369"/>
      <c r="C416" s="1369"/>
      <c r="D416" s="1369"/>
      <c r="E416" s="2265"/>
      <c r="F416" s="2265"/>
      <c r="G416" s="2265"/>
      <c r="H416" s="2265"/>
      <c r="I416" s="2292"/>
      <c r="J416" s="2292"/>
      <c r="K416" s="2262" t="str">
        <f>S65&amp;".13"</f>
        <v>2.1.1.13</v>
      </c>
      <c r="L416" s="1375"/>
      <c r="M416" s="1782"/>
      <c r="N416" s="1782"/>
      <c r="O416" s="1782"/>
      <c r="P416" s="2380"/>
      <c r="Q416" s="2380"/>
      <c r="R416" s="2353"/>
      <c r="S416" s="2348"/>
      <c r="T416" s="2367"/>
      <c r="U416" s="306"/>
      <c r="V416" s="6969"/>
      <c r="W416" s="6970"/>
      <c r="X416" s="6971"/>
      <c r="Y416" s="6972"/>
      <c r="Z416" s="6973"/>
      <c r="AA416" s="6974"/>
      <c r="AB416" s="6975"/>
      <c r="AC416" s="6976"/>
      <c r="AD416" s="2192"/>
      <c r="AE416" s="2332"/>
      <c r="AF416" s="2443"/>
      <c r="AG416" s="2682" t="s">
        <v>28</v>
      </c>
      <c r="AH416" s="2113"/>
      <c r="AI416" s="2332"/>
      <c r="AJ416" s="2443"/>
      <c r="AK416" s="2333"/>
      <c r="AL416" s="2113"/>
      <c r="AM416" s="6977"/>
      <c r="AN416" s="6978"/>
      <c r="AO416" s="6979" t="s">
        <v>516</v>
      </c>
      <c r="AP416" s="6980"/>
      <c r="AQ416" s="6981"/>
      <c r="AR416" s="6982"/>
      <c r="AS416" s="6983"/>
      <c r="AT416" s="6984"/>
      <c r="AU416" s="6985"/>
      <c r="AV416" s="6986"/>
      <c r="AW416" s="6987"/>
      <c r="AX416" s="6988"/>
      <c r="AY416" s="6989"/>
      <c r="AZ416" s="6990"/>
      <c r="BA416" s="6991"/>
      <c r="BB416" s="6992"/>
      <c r="BC416" s="2260"/>
      <c r="BD416" s="1648"/>
      <c r="BE416" s="1630"/>
      <c r="BF416" s="1630"/>
      <c r="BG416" s="1630"/>
      <c r="BH416" s="1630"/>
      <c r="BI416" s="1641">
        <v>0</v>
      </c>
    </row>
    <row customHeight="1" ht="14.25">
      <c r="A417" s="1369"/>
      <c r="B417" s="1369"/>
      <c r="C417" s="1369"/>
      <c r="D417" s="1369"/>
      <c r="E417" s="2265"/>
      <c r="F417" s="2265"/>
      <c r="G417" s="2265"/>
      <c r="H417" s="2265"/>
      <c r="I417" s="2292"/>
      <c r="J417" s="2292"/>
      <c r="K417" s="2262" t="str">
        <f>S412&amp;".1"</f>
        <v>.1</v>
      </c>
      <c r="L417" s="1375"/>
      <c r="M417" s="1782"/>
      <c r="N417" s="1782"/>
      <c r="O417" s="1782"/>
      <c r="P417" s="2380"/>
      <c r="Q417" s="2380"/>
      <c r="R417" s="2353">
        <v>1</v>
      </c>
      <c r="S417" s="2347" t="str">
        <f>$K417</f>
        <v>.1</v>
      </c>
      <c r="T417" s="2366"/>
      <c r="U417" s="306"/>
      <c r="V417" s="757"/>
      <c r="W417" s="1263"/>
      <c r="X417" s="757"/>
      <c r="Y417" s="1263"/>
      <c r="Z417" s="2608"/>
      <c r="AA417" s="2113" t="s">
        <v>62</v>
      </c>
      <c r="AB417" s="2608"/>
      <c r="AC417" s="2113" t="s">
        <v>62</v>
      </c>
      <c r="AD417" s="2191" t="s">
        <v>62</v>
      </c>
      <c r="AE417" s="2332"/>
      <c r="AF417" s="2443">
        <v>1</v>
      </c>
      <c r="AG417" s="2369"/>
      <c r="AH417" s="2113" t="s">
        <v>62</v>
      </c>
      <c r="AI417" s="689" t="s">
        <v>253</v>
      </c>
      <c r="AJ417" s="2443" t="s">
        <v>112</v>
      </c>
      <c r="AK417" s="2333" t="s">
        <v>533</v>
      </c>
      <c r="AL417" s="2113" t="s">
        <v>19</v>
      </c>
      <c r="AM417" s="2300"/>
      <c r="AN417" s="2443">
        <v>1</v>
      </c>
      <c r="AO417" s="2683" t="s">
        <v>28</v>
      </c>
      <c r="AP417" s="2364" t="s">
        <v>62</v>
      </c>
      <c r="AQ417" s="317"/>
      <c r="AR417" s="2443">
        <v>1</v>
      </c>
      <c r="AS417" s="2582" t="s">
        <v>541</v>
      </c>
      <c r="AT417" s="757"/>
      <c r="AU417" s="1263"/>
      <c r="AV417" s="757"/>
      <c r="AW417" s="1263">
        <v>6321.89</v>
      </c>
      <c r="AX417" s="2608">
        <v>46023.62351851852</v>
      </c>
      <c r="AY417" s="2113" t="s">
        <v>62</v>
      </c>
      <c r="AZ417" s="2608">
        <v>46387.648506944446</v>
      </c>
      <c r="BA417" s="2113" t="s">
        <v>62</v>
      </c>
      <c r="BB417" s="1354"/>
      <c r="BC417" s="2259" t="s">
        <v>514</v>
      </c>
      <c r="BD417" s="1648"/>
      <c r="BE417" s="1630"/>
      <c r="BF417" s="1630" t="str">
        <f>IF(T417="","",T417)</f>
        <v/>
      </c>
      <c r="BG417" s="1630"/>
      <c r="BH417" s="1630"/>
      <c r="BI417" s="1641">
        <v>0</v>
      </c>
    </row>
    <row customHeight="1" ht="14.25">
      <c r="A418" s="1369"/>
      <c r="B418" s="1369"/>
      <c r="C418" s="1369"/>
      <c r="D418" s="1369"/>
      <c r="E418" s="2265"/>
      <c r="F418" s="2265"/>
      <c r="G418" s="2265"/>
      <c r="H418" s="2265"/>
      <c r="I418" s="2292"/>
      <c r="J418" s="2292"/>
      <c r="K418" s="2262" t="str">
        <f>S414&amp;".1"</f>
        <v>.1.1</v>
      </c>
      <c r="L418" s="1375"/>
      <c r="M418" s="1782"/>
      <c r="N418" s="1782"/>
      <c r="O418" s="1782"/>
      <c r="P418" s="2380"/>
      <c r="Q418" s="2380"/>
      <c r="R418" s="2353">
        <v>1</v>
      </c>
      <c r="S418" s="2347" t="str">
        <f>$K418</f>
        <v>.1.1</v>
      </c>
      <c r="T418" s="2366"/>
      <c r="U418" s="306"/>
      <c r="V418" s="757"/>
      <c r="W418" s="1263"/>
      <c r="X418" s="757"/>
      <c r="Y418" s="1263"/>
      <c r="Z418" s="2608"/>
      <c r="AA418" s="2113" t="s">
        <v>62</v>
      </c>
      <c r="AB418" s="2608"/>
      <c r="AC418" s="2113" t="s">
        <v>62</v>
      </c>
      <c r="AD418" s="2191" t="s">
        <v>62</v>
      </c>
      <c r="AE418" s="2332"/>
      <c r="AF418" s="2443">
        <v>1</v>
      </c>
      <c r="AG418" s="2369"/>
      <c r="AH418" s="2113" t="s">
        <v>62</v>
      </c>
      <c r="AI418" s="2332"/>
      <c r="AJ418" s="2443">
        <v>1</v>
      </c>
      <c r="AK418" s="2333" t="s">
        <v>28</v>
      </c>
      <c r="AL418" s="2113" t="s">
        <v>62</v>
      </c>
      <c r="AM418" s="2300"/>
      <c r="AN418" s="2443">
        <v>1</v>
      </c>
      <c r="AO418" s="2683" t="s">
        <v>28</v>
      </c>
      <c r="AP418" s="2364" t="s">
        <v>62</v>
      </c>
      <c r="AQ418" s="689" t="s">
        <v>253</v>
      </c>
      <c r="AR418" s="2443" t="s">
        <v>112</v>
      </c>
      <c r="AS418" s="2582" t="s">
        <v>541</v>
      </c>
      <c r="AT418" s="757"/>
      <c r="AU418" s="1263"/>
      <c r="AV418" s="757"/>
      <c r="AW418" s="1263">
        <v>7835.57</v>
      </c>
      <c r="AX418" s="2608">
        <v>46023.62355324074</v>
      </c>
      <c r="AY418" s="2113" t="s">
        <v>62</v>
      </c>
      <c r="AZ418" s="2608">
        <v>46387.64859953704</v>
      </c>
      <c r="BA418" s="2113" t="s">
        <v>62</v>
      </c>
      <c r="BB418" s="1354"/>
      <c r="BC418" s="2259" t="s">
        <v>514</v>
      </c>
      <c r="BD418" s="1648"/>
      <c r="BE418" s="1630"/>
      <c r="BF418" s="1630" t="str">
        <f>IF(T418="","",T418)</f>
        <v/>
      </c>
      <c r="BG418" s="1630"/>
      <c r="BH418" s="1630"/>
      <c r="BI418" s="1641">
        <v>0</v>
      </c>
    </row>
    <row customHeight="1" ht="14.25">
      <c r="A419" s="1369"/>
      <c r="B419" s="1369"/>
      <c r="C419" s="1369"/>
      <c r="D419" s="1369"/>
      <c r="E419" s="2265"/>
      <c r="F419" s="2265"/>
      <c r="G419" s="2265"/>
      <c r="H419" s="2265"/>
      <c r="I419" s="2292"/>
      <c r="J419" s="2292"/>
      <c r="K419" s="2262"/>
      <c r="L419" s="1375"/>
      <c r="M419" s="1782"/>
      <c r="N419" s="1782"/>
      <c r="O419" s="1782"/>
      <c r="P419" s="2380"/>
      <c r="Q419" s="2380"/>
      <c r="R419" s="2353"/>
      <c r="S419" s="2348"/>
      <c r="T419" s="2367"/>
      <c r="U419" s="306"/>
      <c r="V419" s="6993"/>
      <c r="W419" s="6994"/>
      <c r="X419" s="6995"/>
      <c r="Y419" s="6996"/>
      <c r="Z419" s="6997"/>
      <c r="AA419" s="6998"/>
      <c r="AB419" s="6999"/>
      <c r="AC419" s="7000"/>
      <c r="AD419" s="2192"/>
      <c r="AE419" s="2332"/>
      <c r="AF419" s="2443"/>
      <c r="AG419" s="2369"/>
      <c r="AH419" s="2113"/>
      <c r="AI419" s="2332"/>
      <c r="AJ419" s="2443">
        <v>1</v>
      </c>
      <c r="AK419" s="2333"/>
      <c r="AL419" s="2113"/>
      <c r="AM419" s="2301"/>
      <c r="AN419" s="2443"/>
      <c r="AO419" s="2683" t="s">
        <v>28</v>
      </c>
      <c r="AP419" s="2365"/>
      <c r="AQ419" s="7001"/>
      <c r="AR419" s="7002"/>
      <c r="AS419" s="7003" t="s">
        <v>515</v>
      </c>
      <c r="AT419" s="7004"/>
      <c r="AU419" s="7005"/>
      <c r="AV419" s="7006"/>
      <c r="AW419" s="7007"/>
      <c r="AX419" s="7008"/>
      <c r="AY419" s="7009"/>
      <c r="AZ419" s="7010"/>
      <c r="BA419" s="7011"/>
      <c r="BB419" s="7012"/>
      <c r="BC419" s="2260"/>
      <c r="BD419" s="1648"/>
      <c r="BE419" s="1630"/>
      <c r="BF419" s="1630"/>
      <c r="BG419" s="1630"/>
      <c r="BH419" s="1630"/>
      <c r="BI419" s="1641">
        <v>0</v>
      </c>
    </row>
    <row customHeight="1" ht="14.25">
      <c r="A420" s="1369"/>
      <c r="B420" s="1369"/>
      <c r="C420" s="1369"/>
      <c r="D420" s="1369"/>
      <c r="E420" s="2265"/>
      <c r="F420" s="2265"/>
      <c r="G420" s="2265"/>
      <c r="H420" s="2265"/>
      <c r="I420" s="2292"/>
      <c r="J420" s="2292"/>
      <c r="K420" s="2262"/>
      <c r="L420" s="1375"/>
      <c r="M420" s="1782"/>
      <c r="N420" s="1782"/>
      <c r="O420" s="1782"/>
      <c r="P420" s="2380"/>
      <c r="Q420" s="2380"/>
      <c r="R420" s="2353"/>
      <c r="S420" s="2348"/>
      <c r="T420" s="2367"/>
      <c r="U420" s="306"/>
      <c r="V420" s="7013"/>
      <c r="W420" s="7014"/>
      <c r="X420" s="7015"/>
      <c r="Y420" s="7016"/>
      <c r="Z420" s="7017"/>
      <c r="AA420" s="7018"/>
      <c r="AB420" s="7019"/>
      <c r="AC420" s="7020"/>
      <c r="AD420" s="2192"/>
      <c r="AE420" s="2332"/>
      <c r="AF420" s="2443"/>
      <c r="AG420" s="2369"/>
      <c r="AH420" s="2113"/>
      <c r="AI420" s="2332"/>
      <c r="AJ420" s="2443">
        <v>1</v>
      </c>
      <c r="AK420" s="2333"/>
      <c r="AL420" s="2113"/>
      <c r="AM420" s="7021"/>
      <c r="AN420" s="7022"/>
      <c r="AO420" s="7023" t="s">
        <v>516</v>
      </c>
      <c r="AP420" s="7024"/>
      <c r="AQ420" s="7025"/>
      <c r="AR420" s="7026"/>
      <c r="AS420" s="7027"/>
      <c r="AT420" s="7028"/>
      <c r="AU420" s="7029"/>
      <c r="AV420" s="7030"/>
      <c r="AW420" s="7031"/>
      <c r="AX420" s="7032"/>
      <c r="AY420" s="7033"/>
      <c r="AZ420" s="7034"/>
      <c r="BA420" s="7035"/>
      <c r="BB420" s="7036"/>
      <c r="BC420" s="2260"/>
      <c r="BD420" s="1648"/>
      <c r="BE420" s="1630"/>
      <c r="BF420" s="1630"/>
      <c r="BG420" s="1630"/>
      <c r="BH420" s="1630"/>
      <c r="BI420" s="1641">
        <v>0</v>
      </c>
    </row>
    <row customHeight="1" ht="14.25">
      <c r="A421" s="1369"/>
      <c r="B421" s="1369"/>
      <c r="C421" s="1369"/>
      <c r="D421" s="1369"/>
      <c r="E421" s="2265"/>
      <c r="F421" s="2265"/>
      <c r="G421" s="2265"/>
      <c r="H421" s="2265"/>
      <c r="I421" s="2292"/>
      <c r="J421" s="2292"/>
      <c r="K421" s="2262" t="str">
        <f>S416&amp;".1"</f>
        <v>.1</v>
      </c>
      <c r="L421" s="1375"/>
      <c r="M421" s="1782"/>
      <c r="N421" s="1782"/>
      <c r="O421" s="1782"/>
      <c r="P421" s="2380"/>
      <c r="Q421" s="2380"/>
      <c r="R421" s="2353">
        <v>1</v>
      </c>
      <c r="S421" s="2347" t="str">
        <f>$K421</f>
        <v>.1</v>
      </c>
      <c r="T421" s="2366"/>
      <c r="U421" s="306"/>
      <c r="V421" s="757"/>
      <c r="W421" s="1263"/>
      <c r="X421" s="757"/>
      <c r="Y421" s="1263"/>
      <c r="Z421" s="2608"/>
      <c r="AA421" s="2113" t="s">
        <v>62</v>
      </c>
      <c r="AB421" s="2608"/>
      <c r="AC421" s="2113" t="s">
        <v>62</v>
      </c>
      <c r="AD421" s="2191" t="s">
        <v>62</v>
      </c>
      <c r="AE421" s="2332"/>
      <c r="AF421" s="2443">
        <v>1</v>
      </c>
      <c r="AG421" s="2369"/>
      <c r="AH421" s="2113" t="s">
        <v>62</v>
      </c>
      <c r="AI421" s="689" t="s">
        <v>253</v>
      </c>
      <c r="AJ421" s="2443" t="s">
        <v>91</v>
      </c>
      <c r="AK421" s="2333" t="s">
        <v>534</v>
      </c>
      <c r="AL421" s="2113" t="s">
        <v>19</v>
      </c>
      <c r="AM421" s="2300"/>
      <c r="AN421" s="2443">
        <v>1</v>
      </c>
      <c r="AO421" s="2683" t="s">
        <v>28</v>
      </c>
      <c r="AP421" s="2364" t="s">
        <v>62</v>
      </c>
      <c r="AQ421" s="317"/>
      <c r="AR421" s="2443">
        <v>1</v>
      </c>
      <c r="AS421" s="2582" t="s">
        <v>541</v>
      </c>
      <c r="AT421" s="757"/>
      <c r="AU421" s="1263"/>
      <c r="AV421" s="757"/>
      <c r="AW421" s="1263">
        <v>8904.09</v>
      </c>
      <c r="AX421" s="2608">
        <v>46023.62359953704</v>
      </c>
      <c r="AY421" s="2113" t="s">
        <v>62</v>
      </c>
      <c r="AZ421" s="2608">
        <v>46387.648680555554</v>
      </c>
      <c r="BA421" s="2113" t="s">
        <v>62</v>
      </c>
      <c r="BB421" s="1354"/>
      <c r="BC421" s="2259" t="s">
        <v>514</v>
      </c>
      <c r="BD421" s="1648"/>
      <c r="BE421" s="1630"/>
      <c r="BF421" s="1630" t="str">
        <f>IF(T421="","",T421)</f>
        <v/>
      </c>
      <c r="BG421" s="1630"/>
      <c r="BH421" s="1630"/>
      <c r="BI421" s="1641">
        <v>0</v>
      </c>
    </row>
    <row customHeight="1" ht="14.25">
      <c r="A422" s="1369"/>
      <c r="B422" s="1369"/>
      <c r="C422" s="1369"/>
      <c r="D422" s="1369"/>
      <c r="E422" s="2265"/>
      <c r="F422" s="2265"/>
      <c r="G422" s="2265"/>
      <c r="H422" s="2265"/>
      <c r="I422" s="2292"/>
      <c r="J422" s="2292"/>
      <c r="K422" s="2262" t="str">
        <f>S418&amp;".1"</f>
        <v>.1.1.1</v>
      </c>
      <c r="L422" s="1375"/>
      <c r="M422" s="1782"/>
      <c r="N422" s="1782"/>
      <c r="O422" s="1782"/>
      <c r="P422" s="2380"/>
      <c r="Q422" s="2380"/>
      <c r="R422" s="2353">
        <v>1</v>
      </c>
      <c r="S422" s="2347" t="str">
        <f>$K422</f>
        <v>.1.1.1</v>
      </c>
      <c r="T422" s="2366"/>
      <c r="U422" s="306"/>
      <c r="V422" s="757"/>
      <c r="W422" s="1263"/>
      <c r="X422" s="757"/>
      <c r="Y422" s="1263"/>
      <c r="Z422" s="2608"/>
      <c r="AA422" s="2113" t="s">
        <v>62</v>
      </c>
      <c r="AB422" s="2608"/>
      <c r="AC422" s="2113" t="s">
        <v>62</v>
      </c>
      <c r="AD422" s="2191" t="s">
        <v>62</v>
      </c>
      <c r="AE422" s="2332"/>
      <c r="AF422" s="2443">
        <v>1</v>
      </c>
      <c r="AG422" s="2369"/>
      <c r="AH422" s="2113" t="s">
        <v>62</v>
      </c>
      <c r="AI422" s="2332"/>
      <c r="AJ422" s="2443">
        <v>1</v>
      </c>
      <c r="AK422" s="2333" t="s">
        <v>28</v>
      </c>
      <c r="AL422" s="2113" t="s">
        <v>62</v>
      </c>
      <c r="AM422" s="2300"/>
      <c r="AN422" s="2443">
        <v>1</v>
      </c>
      <c r="AO422" s="2683" t="s">
        <v>28</v>
      </c>
      <c r="AP422" s="2364" t="s">
        <v>62</v>
      </c>
      <c r="AQ422" s="689" t="s">
        <v>253</v>
      </c>
      <c r="AR422" s="2443" t="s">
        <v>112</v>
      </c>
      <c r="AS422" s="2582" t="s">
        <v>541</v>
      </c>
      <c r="AT422" s="757"/>
      <c r="AU422" s="1263"/>
      <c r="AV422" s="757"/>
      <c r="AW422" s="1263">
        <v>9533.82</v>
      </c>
      <c r="AX422" s="2608">
        <v>46023.62362268518</v>
      </c>
      <c r="AY422" s="2113" t="s">
        <v>62</v>
      </c>
      <c r="AZ422" s="2608">
        <v>46387.64879629629</v>
      </c>
      <c r="BA422" s="2113" t="s">
        <v>62</v>
      </c>
      <c r="BB422" s="1354"/>
      <c r="BC422" s="2259" t="s">
        <v>514</v>
      </c>
      <c r="BD422" s="1648"/>
      <c r="BE422" s="1630"/>
      <c r="BF422" s="1630" t="str">
        <f>IF(T422="","",T422)</f>
        <v/>
      </c>
      <c r="BG422" s="1630"/>
      <c r="BH422" s="1630"/>
      <c r="BI422" s="1641">
        <v>0</v>
      </c>
    </row>
    <row customHeight="1" ht="14.25">
      <c r="A423" s="1369"/>
      <c r="B423" s="1369"/>
      <c r="C423" s="1369"/>
      <c r="D423" s="1369"/>
      <c r="E423" s="2265"/>
      <c r="F423" s="2265"/>
      <c r="G423" s="2265"/>
      <c r="H423" s="2265"/>
      <c r="I423" s="2292"/>
      <c r="J423" s="2292"/>
      <c r="K423" s="2262"/>
      <c r="L423" s="1375"/>
      <c r="M423" s="1782"/>
      <c r="N423" s="1782"/>
      <c r="O423" s="1782"/>
      <c r="P423" s="2380"/>
      <c r="Q423" s="2380"/>
      <c r="R423" s="2353"/>
      <c r="S423" s="2348"/>
      <c r="T423" s="2367"/>
      <c r="U423" s="306"/>
      <c r="V423" s="7037"/>
      <c r="W423" s="7038"/>
      <c r="X423" s="7039"/>
      <c r="Y423" s="7040"/>
      <c r="Z423" s="7041"/>
      <c r="AA423" s="7042"/>
      <c r="AB423" s="7043"/>
      <c r="AC423" s="7044"/>
      <c r="AD423" s="2192"/>
      <c r="AE423" s="2332"/>
      <c r="AF423" s="2443"/>
      <c r="AG423" s="2369"/>
      <c r="AH423" s="2113"/>
      <c r="AI423" s="2332"/>
      <c r="AJ423" s="2443" t="s">
        <v>112</v>
      </c>
      <c r="AK423" s="2333"/>
      <c r="AL423" s="2113"/>
      <c r="AM423" s="2301"/>
      <c r="AN423" s="2443"/>
      <c r="AO423" s="2683" t="s">
        <v>28</v>
      </c>
      <c r="AP423" s="2365"/>
      <c r="AQ423" s="7045"/>
      <c r="AR423" s="7046"/>
      <c r="AS423" s="7047" t="s">
        <v>515</v>
      </c>
      <c r="AT423" s="7048"/>
      <c r="AU423" s="7049"/>
      <c r="AV423" s="7050"/>
      <c r="AW423" s="7051"/>
      <c r="AX423" s="7052"/>
      <c r="AY423" s="7053"/>
      <c r="AZ423" s="7054"/>
      <c r="BA423" s="7055"/>
      <c r="BB423" s="7056"/>
      <c r="BC423" s="2260"/>
      <c r="BD423" s="1648"/>
      <c r="BE423" s="1630"/>
      <c r="BF423" s="1630"/>
      <c r="BG423" s="1630"/>
      <c r="BH423" s="1630"/>
      <c r="BI423" s="1641">
        <v>0</v>
      </c>
    </row>
    <row customHeight="1" ht="14.25">
      <c r="A424" s="1369"/>
      <c r="B424" s="1369"/>
      <c r="C424" s="1369"/>
      <c r="D424" s="1369"/>
      <c r="E424" s="2265"/>
      <c r="F424" s="2265"/>
      <c r="G424" s="2265"/>
      <c r="H424" s="2265"/>
      <c r="I424" s="2292"/>
      <c r="J424" s="2292"/>
      <c r="K424" s="2262"/>
      <c r="L424" s="1375"/>
      <c r="M424" s="1782"/>
      <c r="N424" s="1782"/>
      <c r="O424" s="1782"/>
      <c r="P424" s="2380"/>
      <c r="Q424" s="2380"/>
      <c r="R424" s="2353"/>
      <c r="S424" s="2348"/>
      <c r="T424" s="2367"/>
      <c r="U424" s="306"/>
      <c r="V424" s="7057"/>
      <c r="W424" s="7058"/>
      <c r="X424" s="7059"/>
      <c r="Y424" s="7060"/>
      <c r="Z424" s="7061"/>
      <c r="AA424" s="7062"/>
      <c r="AB424" s="7063"/>
      <c r="AC424" s="7064"/>
      <c r="AD424" s="2192"/>
      <c r="AE424" s="2332"/>
      <c r="AF424" s="2443"/>
      <c r="AG424" s="2369"/>
      <c r="AH424" s="2113"/>
      <c r="AI424" s="2332"/>
      <c r="AJ424" s="2443" t="s">
        <v>112</v>
      </c>
      <c r="AK424" s="2333"/>
      <c r="AL424" s="2113"/>
      <c r="AM424" s="7065"/>
      <c r="AN424" s="7066"/>
      <c r="AO424" s="7067" t="s">
        <v>516</v>
      </c>
      <c r="AP424" s="7068"/>
      <c r="AQ424" s="7069"/>
      <c r="AR424" s="7070"/>
      <c r="AS424" s="7071"/>
      <c r="AT424" s="7072"/>
      <c r="AU424" s="7073"/>
      <c r="AV424" s="7074"/>
      <c r="AW424" s="7075"/>
      <c r="AX424" s="7076"/>
      <c r="AY424" s="7077"/>
      <c r="AZ424" s="7078"/>
      <c r="BA424" s="7079"/>
      <c r="BB424" s="7080"/>
      <c r="BC424" s="2260"/>
      <c r="BD424" s="1648"/>
      <c r="BE424" s="1630"/>
      <c r="BF424" s="1630"/>
      <c r="BG424" s="1630"/>
      <c r="BH424" s="1630"/>
      <c r="BI424" s="1641">
        <v>0</v>
      </c>
    </row>
    <row customHeight="1" ht="14.25">
      <c r="A425" s="1369"/>
      <c r="B425" s="1369"/>
      <c r="C425" s="1369"/>
      <c r="D425" s="1369"/>
      <c r="E425" s="2265"/>
      <c r="F425" s="2265"/>
      <c r="G425" s="2265"/>
      <c r="H425" s="2265"/>
      <c r="I425" s="2292"/>
      <c r="J425" s="2292"/>
      <c r="K425" s="2262" t="str">
        <f>S421&amp;".1"</f>
        <v>.1.1</v>
      </c>
      <c r="L425" s="1375"/>
      <c r="M425" s="1782"/>
      <c r="N425" s="1782"/>
      <c r="O425" s="1782"/>
      <c r="P425" s="2380"/>
      <c r="Q425" s="2380"/>
      <c r="R425" s="2353">
        <v>1</v>
      </c>
      <c r="S425" s="2347" t="str">
        <f>$K425</f>
        <v>.1.1</v>
      </c>
      <c r="T425" s="2366"/>
      <c r="U425" s="306"/>
      <c r="V425" s="757"/>
      <c r="W425" s="1263"/>
      <c r="X425" s="757"/>
      <c r="Y425" s="1263"/>
      <c r="Z425" s="2608"/>
      <c r="AA425" s="2113" t="s">
        <v>62</v>
      </c>
      <c r="AB425" s="2608"/>
      <c r="AC425" s="2113" t="s">
        <v>62</v>
      </c>
      <c r="AD425" s="2191" t="s">
        <v>62</v>
      </c>
      <c r="AE425" s="2332"/>
      <c r="AF425" s="2443">
        <v>1</v>
      </c>
      <c r="AG425" s="2369"/>
      <c r="AH425" s="2113" t="s">
        <v>62</v>
      </c>
      <c r="AI425" s="689" t="s">
        <v>253</v>
      </c>
      <c r="AJ425" s="2443" t="s">
        <v>92</v>
      </c>
      <c r="AK425" s="2333" t="s">
        <v>535</v>
      </c>
      <c r="AL425" s="2113" t="s">
        <v>19</v>
      </c>
      <c r="AM425" s="2300"/>
      <c r="AN425" s="2443">
        <v>1</v>
      </c>
      <c r="AO425" s="2683" t="s">
        <v>28</v>
      </c>
      <c r="AP425" s="2364" t="s">
        <v>62</v>
      </c>
      <c r="AQ425" s="317"/>
      <c r="AR425" s="2443">
        <v>1</v>
      </c>
      <c r="AS425" s="2582" t="s">
        <v>541</v>
      </c>
      <c r="AT425" s="757"/>
      <c r="AU425" s="1263"/>
      <c r="AV425" s="757"/>
      <c r="AW425" s="1263">
        <v>11882.6</v>
      </c>
      <c r="AX425" s="2608">
        <v>46023.62366898148</v>
      </c>
      <c r="AY425" s="2113" t="s">
        <v>62</v>
      </c>
      <c r="AZ425" s="2608">
        <v>46387.64890046296</v>
      </c>
      <c r="BA425" s="2113" t="s">
        <v>62</v>
      </c>
      <c r="BB425" s="1354"/>
      <c r="BC425" s="2259" t="s">
        <v>514</v>
      </c>
      <c r="BD425" s="1648"/>
      <c r="BE425" s="1630"/>
      <c r="BF425" s="1630" t="str">
        <f>IF(T425="","",T425)</f>
        <v/>
      </c>
      <c r="BG425" s="1630"/>
      <c r="BH425" s="1630"/>
      <c r="BI425" s="1641">
        <v>0</v>
      </c>
    </row>
    <row customHeight="1" ht="14.25">
      <c r="A426" s="1369"/>
      <c r="B426" s="1369"/>
      <c r="C426" s="1369"/>
      <c r="D426" s="1369"/>
      <c r="E426" s="2265"/>
      <c r="F426" s="2265"/>
      <c r="G426" s="2265"/>
      <c r="H426" s="2265"/>
      <c r="I426" s="2292"/>
      <c r="J426" s="2292"/>
      <c r="K426" s="2262" t="str">
        <f>S422&amp;".1"</f>
        <v>.1.1.1.1</v>
      </c>
      <c r="L426" s="1375"/>
      <c r="M426" s="1782"/>
      <c r="N426" s="1782"/>
      <c r="O426" s="1782"/>
      <c r="P426" s="2380"/>
      <c r="Q426" s="2380"/>
      <c r="R426" s="2353">
        <v>1</v>
      </c>
      <c r="S426" s="2347" t="str">
        <f>$K426</f>
        <v>.1.1.1.1</v>
      </c>
      <c r="T426" s="2366"/>
      <c r="U426" s="306"/>
      <c r="V426" s="757"/>
      <c r="W426" s="1263"/>
      <c r="X426" s="757"/>
      <c r="Y426" s="1263"/>
      <c r="Z426" s="2608"/>
      <c r="AA426" s="2113" t="s">
        <v>62</v>
      </c>
      <c r="AB426" s="2608"/>
      <c r="AC426" s="2113" t="s">
        <v>62</v>
      </c>
      <c r="AD426" s="2191" t="s">
        <v>62</v>
      </c>
      <c r="AE426" s="2332"/>
      <c r="AF426" s="2443">
        <v>1</v>
      </c>
      <c r="AG426" s="2369"/>
      <c r="AH426" s="2113" t="s">
        <v>62</v>
      </c>
      <c r="AI426" s="2332"/>
      <c r="AJ426" s="2443">
        <v>1</v>
      </c>
      <c r="AK426" s="2333" t="s">
        <v>28</v>
      </c>
      <c r="AL426" s="2113" t="s">
        <v>62</v>
      </c>
      <c r="AM426" s="2300"/>
      <c r="AN426" s="2443">
        <v>1</v>
      </c>
      <c r="AO426" s="2683" t="s">
        <v>28</v>
      </c>
      <c r="AP426" s="2364" t="s">
        <v>62</v>
      </c>
      <c r="AQ426" s="689" t="s">
        <v>253</v>
      </c>
      <c r="AR426" s="2443" t="s">
        <v>112</v>
      </c>
      <c r="AS426" s="2582" t="s">
        <v>541</v>
      </c>
      <c r="AT426" s="757"/>
      <c r="AU426" s="1263"/>
      <c r="AV426" s="757"/>
      <c r="AW426" s="1263">
        <v>14152.95</v>
      </c>
      <c r="AX426" s="2608">
        <v>46023.623715277776</v>
      </c>
      <c r="AY426" s="2113" t="s">
        <v>62</v>
      </c>
      <c r="AZ426" s="2608">
        <v>46387.64896990741</v>
      </c>
      <c r="BA426" s="2113" t="s">
        <v>62</v>
      </c>
      <c r="BB426" s="1354"/>
      <c r="BC426" s="2259" t="s">
        <v>514</v>
      </c>
      <c r="BD426" s="1648"/>
      <c r="BE426" s="1630"/>
      <c r="BF426" s="1630" t="str">
        <f>IF(T426="","",T426)</f>
        <v/>
      </c>
      <c r="BG426" s="1630"/>
      <c r="BH426" s="1630"/>
      <c r="BI426" s="1641">
        <v>0</v>
      </c>
    </row>
    <row customHeight="1" ht="14.25">
      <c r="A427" s="1369"/>
      <c r="B427" s="1369"/>
      <c r="C427" s="1369"/>
      <c r="D427" s="1369"/>
      <c r="E427" s="2265"/>
      <c r="F427" s="2265"/>
      <c r="G427" s="2265"/>
      <c r="H427" s="2265"/>
      <c r="I427" s="2292"/>
      <c r="J427" s="2292"/>
      <c r="K427" s="2262"/>
      <c r="L427" s="1375"/>
      <c r="M427" s="1782"/>
      <c r="N427" s="1782"/>
      <c r="O427" s="1782"/>
      <c r="P427" s="2380"/>
      <c r="Q427" s="2380"/>
      <c r="R427" s="2353"/>
      <c r="S427" s="2348"/>
      <c r="T427" s="2367"/>
      <c r="U427" s="306"/>
      <c r="V427" s="7081"/>
      <c r="W427" s="7082"/>
      <c r="X427" s="7083"/>
      <c r="Y427" s="7084"/>
      <c r="Z427" s="7085"/>
      <c r="AA427" s="7086"/>
      <c r="AB427" s="7087"/>
      <c r="AC427" s="7088"/>
      <c r="AD427" s="2192"/>
      <c r="AE427" s="2332"/>
      <c r="AF427" s="2443"/>
      <c r="AG427" s="2369"/>
      <c r="AH427" s="2113"/>
      <c r="AI427" s="2332"/>
      <c r="AJ427" s="2443" t="s">
        <v>91</v>
      </c>
      <c r="AK427" s="2333"/>
      <c r="AL427" s="2113"/>
      <c r="AM427" s="2301"/>
      <c r="AN427" s="2443"/>
      <c r="AO427" s="2683" t="s">
        <v>28</v>
      </c>
      <c r="AP427" s="2365"/>
      <c r="AQ427" s="7089"/>
      <c r="AR427" s="7090"/>
      <c r="AS427" s="7091" t="s">
        <v>515</v>
      </c>
      <c r="AT427" s="7092"/>
      <c r="AU427" s="7093"/>
      <c r="AV427" s="7094"/>
      <c r="AW427" s="7095"/>
      <c r="AX427" s="7096"/>
      <c r="AY427" s="7097"/>
      <c r="AZ427" s="7098"/>
      <c r="BA427" s="7099"/>
      <c r="BB427" s="7100"/>
      <c r="BC427" s="2260"/>
      <c r="BD427" s="1648"/>
      <c r="BE427" s="1630"/>
      <c r="BF427" s="1630"/>
      <c r="BG427" s="1630"/>
      <c r="BH427" s="1630"/>
      <c r="BI427" s="1641">
        <v>0</v>
      </c>
    </row>
    <row customHeight="1" ht="14.25">
      <c r="A428" s="1369"/>
      <c r="B428" s="1369"/>
      <c r="C428" s="1369"/>
      <c r="D428" s="1369"/>
      <c r="E428" s="2265"/>
      <c r="F428" s="2265"/>
      <c r="G428" s="2265"/>
      <c r="H428" s="2265"/>
      <c r="I428" s="2292"/>
      <c r="J428" s="2292"/>
      <c r="K428" s="2262"/>
      <c r="L428" s="1375"/>
      <c r="M428" s="1782"/>
      <c r="N428" s="1782"/>
      <c r="O428" s="1782"/>
      <c r="P428" s="2380"/>
      <c r="Q428" s="2380"/>
      <c r="R428" s="2353"/>
      <c r="S428" s="2348"/>
      <c r="T428" s="2367"/>
      <c r="U428" s="306"/>
      <c r="V428" s="7101"/>
      <c r="W428" s="7102"/>
      <c r="X428" s="7103"/>
      <c r="Y428" s="7104"/>
      <c r="Z428" s="7105"/>
      <c r="AA428" s="7106"/>
      <c r="AB428" s="7107"/>
      <c r="AC428" s="7108"/>
      <c r="AD428" s="2192"/>
      <c r="AE428" s="2332"/>
      <c r="AF428" s="2443"/>
      <c r="AG428" s="2369"/>
      <c r="AH428" s="2113"/>
      <c r="AI428" s="2332"/>
      <c r="AJ428" s="2443" t="s">
        <v>91</v>
      </c>
      <c r="AK428" s="2333"/>
      <c r="AL428" s="2113"/>
      <c r="AM428" s="7109"/>
      <c r="AN428" s="7110"/>
      <c r="AO428" s="7111" t="s">
        <v>516</v>
      </c>
      <c r="AP428" s="7112"/>
      <c r="AQ428" s="7113"/>
      <c r="AR428" s="7114"/>
      <c r="AS428" s="7115"/>
      <c r="AT428" s="7116"/>
      <c r="AU428" s="7117"/>
      <c r="AV428" s="7118"/>
      <c r="AW428" s="7119"/>
      <c r="AX428" s="7120"/>
      <c r="AY428" s="7121"/>
      <c r="AZ428" s="7122"/>
      <c r="BA428" s="7123"/>
      <c r="BB428" s="7124"/>
      <c r="BC428" s="2260"/>
      <c r="BD428" s="1648"/>
      <c r="BE428" s="1630"/>
      <c r="BF428" s="1630"/>
      <c r="BG428" s="1630"/>
      <c r="BH428" s="1630"/>
      <c r="BI428" s="1641">
        <v>0</v>
      </c>
    </row>
    <row customHeight="1" ht="14.25">
      <c r="A429" s="1369"/>
      <c r="B429" s="1369"/>
      <c r="C429" s="1369"/>
      <c r="D429" s="1369"/>
      <c r="E429" s="2265"/>
      <c r="F429" s="2265"/>
      <c r="G429" s="2265"/>
      <c r="H429" s="2265"/>
      <c r="I429" s="2292"/>
      <c r="J429" s="2292"/>
      <c r="K429" s="2262" t="str">
        <f>S425&amp;".1"</f>
        <v>.1.1.1</v>
      </c>
      <c r="L429" s="1375"/>
      <c r="M429" s="1782"/>
      <c r="N429" s="1782"/>
      <c r="O429" s="1782"/>
      <c r="P429" s="2380"/>
      <c r="Q429" s="2380"/>
      <c r="R429" s="2353">
        <v>1</v>
      </c>
      <c r="S429" s="2347" t="str">
        <f>$K429</f>
        <v>.1.1.1</v>
      </c>
      <c r="T429" s="2366"/>
      <c r="U429" s="306"/>
      <c r="V429" s="757"/>
      <c r="W429" s="1263"/>
      <c r="X429" s="757"/>
      <c r="Y429" s="1263"/>
      <c r="Z429" s="2608"/>
      <c r="AA429" s="2113" t="s">
        <v>62</v>
      </c>
      <c r="AB429" s="2608"/>
      <c r="AC429" s="2113" t="s">
        <v>62</v>
      </c>
      <c r="AD429" s="2191" t="s">
        <v>62</v>
      </c>
      <c r="AE429" s="2332"/>
      <c r="AF429" s="2443">
        <v>1</v>
      </c>
      <c r="AG429" s="2369"/>
      <c r="AH429" s="2113" t="s">
        <v>62</v>
      </c>
      <c r="AI429" s="689" t="s">
        <v>253</v>
      </c>
      <c r="AJ429" s="2443" t="s">
        <v>113</v>
      </c>
      <c r="AK429" s="2333" t="s">
        <v>536</v>
      </c>
      <c r="AL429" s="2113" t="s">
        <v>19</v>
      </c>
      <c r="AM429" s="2300"/>
      <c r="AN429" s="2443">
        <v>1</v>
      </c>
      <c r="AO429" s="2683" t="s">
        <v>28</v>
      </c>
      <c r="AP429" s="2364" t="s">
        <v>62</v>
      </c>
      <c r="AQ429" s="317"/>
      <c r="AR429" s="2443">
        <v>1</v>
      </c>
      <c r="AS429" s="2582" t="s">
        <v>541</v>
      </c>
      <c r="AT429" s="757"/>
      <c r="AU429" s="1263"/>
      <c r="AV429" s="757"/>
      <c r="AW429" s="1263">
        <v>18561.74</v>
      </c>
      <c r="AX429" s="2608">
        <v>46023.623761574076</v>
      </c>
      <c r="AY429" s="2113" t="s">
        <v>62</v>
      </c>
      <c r="AZ429" s="2608">
        <v>46387.64902777778</v>
      </c>
      <c r="BA429" s="2113" t="s">
        <v>62</v>
      </c>
      <c r="BB429" s="1354"/>
      <c r="BC429" s="2259" t="s">
        <v>514</v>
      </c>
      <c r="BD429" s="1648"/>
      <c r="BE429" s="1630"/>
      <c r="BF429" s="1630" t="str">
        <f>IF(T429="","",T429)</f>
        <v/>
      </c>
      <c r="BG429" s="1630"/>
      <c r="BH429" s="1630"/>
      <c r="BI429" s="1641">
        <v>0</v>
      </c>
    </row>
    <row customHeight="1" ht="14.25">
      <c r="A430" s="1369"/>
      <c r="B430" s="1369"/>
      <c r="C430" s="1369"/>
      <c r="D430" s="1369"/>
      <c r="E430" s="2265"/>
      <c r="F430" s="2265"/>
      <c r="G430" s="2265"/>
      <c r="H430" s="2265"/>
      <c r="I430" s="2292"/>
      <c r="J430" s="2292"/>
      <c r="K430" s="2262"/>
      <c r="L430" s="1375"/>
      <c r="M430" s="1782"/>
      <c r="N430" s="1782"/>
      <c r="O430" s="1782"/>
      <c r="P430" s="2380"/>
      <c r="Q430" s="2380"/>
      <c r="R430" s="2353"/>
      <c r="S430" s="2348"/>
      <c r="T430" s="2367"/>
      <c r="U430" s="306"/>
      <c r="V430" s="7125"/>
      <c r="W430" s="7126"/>
      <c r="X430" s="7127"/>
      <c r="Y430" s="7128"/>
      <c r="Z430" s="7129"/>
      <c r="AA430" s="7130"/>
      <c r="AB430" s="7131"/>
      <c r="AC430" s="7132"/>
      <c r="AD430" s="2192"/>
      <c r="AE430" s="2332"/>
      <c r="AF430" s="2443"/>
      <c r="AG430" s="2369"/>
      <c r="AH430" s="2113"/>
      <c r="AI430" s="2332"/>
      <c r="AJ430" s="2443" t="s">
        <v>92</v>
      </c>
      <c r="AK430" s="2333"/>
      <c r="AL430" s="2113"/>
      <c r="AM430" s="2301"/>
      <c r="AN430" s="2443"/>
      <c r="AO430" s="2683" t="s">
        <v>28</v>
      </c>
      <c r="AP430" s="2365"/>
      <c r="AQ430" s="7133"/>
      <c r="AR430" s="7134"/>
      <c r="AS430" s="7135" t="s">
        <v>515</v>
      </c>
      <c r="AT430" s="7136"/>
      <c r="AU430" s="7137"/>
      <c r="AV430" s="7138"/>
      <c r="AW430" s="7139"/>
      <c r="AX430" s="7140"/>
      <c r="AY430" s="7141"/>
      <c r="AZ430" s="7142"/>
      <c r="BA430" s="7143"/>
      <c r="BB430" s="7144"/>
      <c r="BC430" s="2260"/>
      <c r="BD430" s="1648"/>
      <c r="BE430" s="1630"/>
      <c r="BF430" s="1630"/>
      <c r="BG430" s="1630"/>
      <c r="BH430" s="1630"/>
      <c r="BI430" s="1641">
        <v>0</v>
      </c>
    </row>
    <row customHeight="1" ht="14.25">
      <c r="A431" s="1369"/>
      <c r="B431" s="1369"/>
      <c r="C431" s="1369"/>
      <c r="D431" s="1369"/>
      <c r="E431" s="2265"/>
      <c r="F431" s="2265"/>
      <c r="G431" s="2265"/>
      <c r="H431" s="2265"/>
      <c r="I431" s="2292"/>
      <c r="J431" s="2292"/>
      <c r="K431" s="2262"/>
      <c r="L431" s="1375"/>
      <c r="M431" s="1782"/>
      <c r="N431" s="1782"/>
      <c r="O431" s="1782"/>
      <c r="P431" s="2380"/>
      <c r="Q431" s="2380"/>
      <c r="R431" s="2353"/>
      <c r="S431" s="2348"/>
      <c r="T431" s="2367"/>
      <c r="U431" s="306"/>
      <c r="V431" s="7145"/>
      <c r="W431" s="7146"/>
      <c r="X431" s="7147"/>
      <c r="Y431" s="7148"/>
      <c r="Z431" s="7149"/>
      <c r="AA431" s="7150"/>
      <c r="AB431" s="7151"/>
      <c r="AC431" s="7152"/>
      <c r="AD431" s="2192"/>
      <c r="AE431" s="2332"/>
      <c r="AF431" s="2443"/>
      <c r="AG431" s="2369"/>
      <c r="AH431" s="2113"/>
      <c r="AI431" s="2332"/>
      <c r="AJ431" s="2443" t="s">
        <v>92</v>
      </c>
      <c r="AK431" s="2333"/>
      <c r="AL431" s="2113"/>
      <c r="AM431" s="7153"/>
      <c r="AN431" s="7154"/>
      <c r="AO431" s="7155" t="s">
        <v>516</v>
      </c>
      <c r="AP431" s="7156"/>
      <c r="AQ431" s="7157"/>
      <c r="AR431" s="7158"/>
      <c r="AS431" s="7159"/>
      <c r="AT431" s="7160"/>
      <c r="AU431" s="7161"/>
      <c r="AV431" s="7162"/>
      <c r="AW431" s="7163"/>
      <c r="AX431" s="7164"/>
      <c r="AY431" s="7165"/>
      <c r="AZ431" s="7166"/>
      <c r="BA431" s="7167"/>
      <c r="BB431" s="7168"/>
      <c r="BC431" s="2260"/>
      <c r="BD431" s="1648"/>
      <c r="BE431" s="1630"/>
      <c r="BF431" s="1630"/>
      <c r="BG431" s="1630"/>
      <c r="BH431" s="1630"/>
      <c r="BI431" s="1641">
        <v>0</v>
      </c>
    </row>
    <row customHeight="1" ht="14.25">
      <c r="A432" s="1369"/>
      <c r="B432" s="1369"/>
      <c r="C432" s="1369"/>
      <c r="D432" s="1369"/>
      <c r="E432" s="2265"/>
      <c r="F432" s="2265"/>
      <c r="G432" s="2265"/>
      <c r="H432" s="2265"/>
      <c r="I432" s="2292"/>
      <c r="J432" s="2292"/>
      <c r="K432" s="2262" t="str">
        <f>S428&amp;".1"</f>
        <v>.1</v>
      </c>
      <c r="L432" s="1375"/>
      <c r="M432" s="1782"/>
      <c r="N432" s="1782"/>
      <c r="O432" s="1782"/>
      <c r="P432" s="2380"/>
      <c r="Q432" s="2380"/>
      <c r="R432" s="2353">
        <v>1</v>
      </c>
      <c r="S432" s="2347" t="str">
        <f>$K432</f>
        <v>.1</v>
      </c>
      <c r="T432" s="2366"/>
      <c r="U432" s="306"/>
      <c r="V432" s="757"/>
      <c r="W432" s="1263"/>
      <c r="X432" s="757"/>
      <c r="Y432" s="1263"/>
      <c r="Z432" s="2608"/>
      <c r="AA432" s="2113" t="s">
        <v>62</v>
      </c>
      <c r="AB432" s="2608"/>
      <c r="AC432" s="2113" t="s">
        <v>62</v>
      </c>
      <c r="AD432" s="2191" t="s">
        <v>62</v>
      </c>
      <c r="AE432" s="2332"/>
      <c r="AF432" s="2443">
        <v>1</v>
      </c>
      <c r="AG432" s="2369"/>
      <c r="AH432" s="2113" t="s">
        <v>62</v>
      </c>
      <c r="AI432" s="689" t="s">
        <v>253</v>
      </c>
      <c r="AJ432" s="2443" t="s">
        <v>93</v>
      </c>
      <c r="AK432" s="2333" t="s">
        <v>537</v>
      </c>
      <c r="AL432" s="2113" t="s">
        <v>19</v>
      </c>
      <c r="AM432" s="2300"/>
      <c r="AN432" s="2443">
        <v>1</v>
      </c>
      <c r="AO432" s="2683" t="s">
        <v>28</v>
      </c>
      <c r="AP432" s="2364" t="s">
        <v>62</v>
      </c>
      <c r="AQ432" s="317"/>
      <c r="AR432" s="2443">
        <v>1</v>
      </c>
      <c r="AS432" s="2582" t="s">
        <v>541</v>
      </c>
      <c r="AT432" s="757"/>
      <c r="AU432" s="1263"/>
      <c r="AV432" s="757"/>
      <c r="AW432" s="1263">
        <v>22793.92</v>
      </c>
      <c r="AX432" s="2608">
        <v>46023.6237962963</v>
      </c>
      <c r="AY432" s="2113" t="s">
        <v>62</v>
      </c>
      <c r="AZ432" s="2608">
        <v>46387.64910879629</v>
      </c>
      <c r="BA432" s="2113" t="s">
        <v>62</v>
      </c>
      <c r="BB432" s="1354"/>
      <c r="BC432" s="2259" t="s">
        <v>514</v>
      </c>
      <c r="BD432" s="1648"/>
      <c r="BE432" s="1630"/>
      <c r="BF432" s="1630" t="str">
        <f>IF(T432="","",T432)</f>
        <v/>
      </c>
      <c r="BG432" s="1630"/>
      <c r="BH432" s="1630"/>
      <c r="BI432" s="1641">
        <v>0</v>
      </c>
    </row>
    <row customHeight="1" ht="14.25">
      <c r="A433" s="1369"/>
      <c r="B433" s="1369"/>
      <c r="C433" s="1369"/>
      <c r="D433" s="1369"/>
      <c r="E433" s="2265"/>
      <c r="F433" s="2265"/>
      <c r="G433" s="2265"/>
      <c r="H433" s="2265"/>
      <c r="I433" s="2292"/>
      <c r="J433" s="2292"/>
      <c r="K433" s="2262"/>
      <c r="L433" s="1375"/>
      <c r="M433" s="1782"/>
      <c r="N433" s="1782"/>
      <c r="O433" s="1782"/>
      <c r="P433" s="2380"/>
      <c r="Q433" s="2380"/>
      <c r="R433" s="2353"/>
      <c r="S433" s="2348"/>
      <c r="T433" s="2367"/>
      <c r="U433" s="306"/>
      <c r="V433" s="7169"/>
      <c r="W433" s="7170"/>
      <c r="X433" s="7171"/>
      <c r="Y433" s="7172"/>
      <c r="Z433" s="7173"/>
      <c r="AA433" s="7174"/>
      <c r="AB433" s="7175"/>
      <c r="AC433" s="7176"/>
      <c r="AD433" s="2192"/>
      <c r="AE433" s="2332"/>
      <c r="AF433" s="2443"/>
      <c r="AG433" s="2369"/>
      <c r="AH433" s="2113"/>
      <c r="AI433" s="2332"/>
      <c r="AJ433" s="2443" t="s">
        <v>113</v>
      </c>
      <c r="AK433" s="2333"/>
      <c r="AL433" s="2113"/>
      <c r="AM433" s="2301"/>
      <c r="AN433" s="2443"/>
      <c r="AO433" s="2683" t="s">
        <v>28</v>
      </c>
      <c r="AP433" s="2365"/>
      <c r="AQ433" s="7177"/>
      <c r="AR433" s="7178"/>
      <c r="AS433" s="7179" t="s">
        <v>515</v>
      </c>
      <c r="AT433" s="7180"/>
      <c r="AU433" s="7181"/>
      <c r="AV433" s="7182"/>
      <c r="AW433" s="7183"/>
      <c r="AX433" s="7184"/>
      <c r="AY433" s="7185"/>
      <c r="AZ433" s="7186"/>
      <c r="BA433" s="7187"/>
      <c r="BB433" s="7188"/>
      <c r="BC433" s="2260"/>
      <c r="BD433" s="1648"/>
      <c r="BE433" s="1630"/>
      <c r="BF433" s="1630"/>
      <c r="BG433" s="1630"/>
      <c r="BH433" s="1630"/>
      <c r="BI433" s="1641">
        <v>0</v>
      </c>
    </row>
    <row customHeight="1" ht="14.25">
      <c r="A434" s="1369"/>
      <c r="B434" s="1369"/>
      <c r="C434" s="1369"/>
      <c r="D434" s="1369"/>
      <c r="E434" s="2265"/>
      <c r="F434" s="2265"/>
      <c r="G434" s="2265"/>
      <c r="H434" s="2265"/>
      <c r="I434" s="2292"/>
      <c r="J434" s="2292"/>
      <c r="K434" s="2262"/>
      <c r="L434" s="1375"/>
      <c r="M434" s="1782"/>
      <c r="N434" s="1782"/>
      <c r="O434" s="1782"/>
      <c r="P434" s="2380"/>
      <c r="Q434" s="2380"/>
      <c r="R434" s="2353"/>
      <c r="S434" s="2348"/>
      <c r="T434" s="2367"/>
      <c r="U434" s="306"/>
      <c r="V434" s="7189"/>
      <c r="W434" s="7190"/>
      <c r="X434" s="7191"/>
      <c r="Y434" s="7192"/>
      <c r="Z434" s="7193"/>
      <c r="AA434" s="7194"/>
      <c r="AB434" s="7195"/>
      <c r="AC434" s="7196"/>
      <c r="AD434" s="2192"/>
      <c r="AE434" s="2332"/>
      <c r="AF434" s="2443"/>
      <c r="AG434" s="2369"/>
      <c r="AH434" s="2113"/>
      <c r="AI434" s="2332"/>
      <c r="AJ434" s="2443" t="s">
        <v>113</v>
      </c>
      <c r="AK434" s="2333"/>
      <c r="AL434" s="2113"/>
      <c r="AM434" s="7197"/>
      <c r="AN434" s="7198"/>
      <c r="AO434" s="7199" t="s">
        <v>516</v>
      </c>
      <c r="AP434" s="7200"/>
      <c r="AQ434" s="7201"/>
      <c r="AR434" s="7202"/>
      <c r="AS434" s="7203"/>
      <c r="AT434" s="7204"/>
      <c r="AU434" s="7205"/>
      <c r="AV434" s="7206"/>
      <c r="AW434" s="7207"/>
      <c r="AX434" s="7208"/>
      <c r="AY434" s="7209"/>
      <c r="AZ434" s="7210"/>
      <c r="BA434" s="7211"/>
      <c r="BB434" s="7212"/>
      <c r="BC434" s="2260"/>
      <c r="BD434" s="1648"/>
      <c r="BE434" s="1630"/>
      <c r="BF434" s="1630"/>
      <c r="BG434" s="1630"/>
      <c r="BH434" s="1630"/>
      <c r="BI434" s="1641">
        <v>0</v>
      </c>
    </row>
    <row customHeight="1" ht="14.25">
      <c r="A435" s="1369"/>
      <c r="B435" s="1369"/>
      <c r="C435" s="1369"/>
      <c r="D435" s="1369"/>
      <c r="E435" s="2265"/>
      <c r="F435" s="2265"/>
      <c r="G435" s="2265"/>
      <c r="H435" s="2265"/>
      <c r="I435" s="2292"/>
      <c r="J435" s="2292"/>
      <c r="K435" s="2262" t="str">
        <f>S65&amp;".13"</f>
        <v>2.1.1.13</v>
      </c>
      <c r="L435" s="1375"/>
      <c r="M435" s="1782"/>
      <c r="N435" s="1782"/>
      <c r="O435" s="1782"/>
      <c r="P435" s="2380"/>
      <c r="Q435" s="2380"/>
      <c r="R435" s="2353"/>
      <c r="S435" s="2348"/>
      <c r="T435" s="2367"/>
      <c r="U435" s="306"/>
      <c r="V435" s="7213"/>
      <c r="W435" s="7214"/>
      <c r="X435" s="7215"/>
      <c r="Y435" s="7216"/>
      <c r="Z435" s="7217"/>
      <c r="AA435" s="7218"/>
      <c r="AB435" s="7219"/>
      <c r="AC435" s="7220"/>
      <c r="AD435" s="2192"/>
      <c r="AE435" s="2332"/>
      <c r="AF435" s="2443"/>
      <c r="AG435" s="2682" t="s">
        <v>28</v>
      </c>
      <c r="AH435" s="2113"/>
      <c r="AI435" s="7221"/>
      <c r="AJ435" s="7222"/>
      <c r="AK435" s="7223" t="s">
        <v>517</v>
      </c>
      <c r="AL435" s="7224"/>
      <c r="AM435" s="7225"/>
      <c r="AN435" s="7226"/>
      <c r="AO435" s="7227"/>
      <c r="AP435" s="7228"/>
      <c r="AQ435" s="7229"/>
      <c r="AR435" s="7230"/>
      <c r="AS435" s="7231"/>
      <c r="AT435" s="7232"/>
      <c r="AU435" s="7233"/>
      <c r="AV435" s="7234"/>
      <c r="AW435" s="7235"/>
      <c r="AX435" s="7236"/>
      <c r="AY435" s="7237"/>
      <c r="AZ435" s="7238"/>
      <c r="BA435" s="7239"/>
      <c r="BB435" s="7240"/>
      <c r="BC435" s="2260"/>
      <c r="BD435" s="1648"/>
      <c r="BE435" s="1630"/>
      <c r="BF435" s="1630"/>
      <c r="BG435" s="1630"/>
      <c r="BH435" s="1630"/>
      <c r="BI435" s="1641">
        <v>0</v>
      </c>
    </row>
    <row customHeight="1" ht="14.25">
      <c r="A436" s="1369"/>
      <c r="B436" s="1369"/>
      <c r="C436" s="1369"/>
      <c r="D436" s="1369"/>
      <c r="E436" s="2265"/>
      <c r="F436" s="2265"/>
      <c r="G436" s="2265"/>
      <c r="H436" s="2265"/>
      <c r="I436" s="2292"/>
      <c r="J436" s="2292"/>
      <c r="K436" s="2262" t="str">
        <f>S65&amp;".13"</f>
        <v>2.1.1.13</v>
      </c>
      <c r="L436" s="1375"/>
      <c r="M436" s="1782"/>
      <c r="N436" s="1782"/>
      <c r="O436" s="1782"/>
      <c r="P436" s="2380"/>
      <c r="Q436" s="2380"/>
      <c r="R436" s="2353"/>
      <c r="S436" s="2349"/>
      <c r="T436" s="2368"/>
      <c r="U436" s="306"/>
      <c r="V436" s="7241"/>
      <c r="W436" s="7242" t="str">
        <f>Z413&amp;"-"&amp;AB413</f>
        <v>-</v>
      </c>
      <c r="X436" s="7243"/>
      <c r="Y436" s="7244" t="str">
        <f>AB413&amp;"-"&amp;AD413</f>
        <v>-нет</v>
      </c>
      <c r="Z436" s="7245"/>
      <c r="AA436" s="7246"/>
      <c r="AB436" s="7247"/>
      <c r="AC436" s="7248"/>
      <c r="AD436" s="2118"/>
      <c r="AE436" s="7249"/>
      <c r="AF436" s="7250"/>
      <c r="AG436" s="7251" t="s">
        <v>518</v>
      </c>
      <c r="AH436" s="7252"/>
      <c r="AI436" s="7253"/>
      <c r="AJ436" s="7254"/>
      <c r="AK436" s="7255"/>
      <c r="AL436" s="7256"/>
      <c r="AM436" s="7257"/>
      <c r="AN436" s="7258"/>
      <c r="AO436" s="7259"/>
      <c r="AP436" s="7260"/>
      <c r="AQ436" s="7261"/>
      <c r="AR436" s="7262"/>
      <c r="AS436" s="7263"/>
      <c r="AT436" s="7264"/>
      <c r="AU436" s="7265" t="str">
        <f>AX413&amp;"-"&amp;AZ413</f>
        <v>46023.623449074075-46387.648148148146</v>
      </c>
      <c r="AV436" s="7266"/>
      <c r="AW436" s="7267" t="str">
        <f>AZ413&amp;"-"&amp;BB413</f>
        <v>46387.648148148146-</v>
      </c>
      <c r="AX436" s="7268"/>
      <c r="AY436" s="7269"/>
      <c r="AZ436" s="7270"/>
      <c r="BA436" s="7271"/>
      <c r="BB436" s="7272" t="str">
        <f>BE413&amp;"-"&amp;BG413</f>
        <v>-</v>
      </c>
      <c r="BC436" s="2260"/>
      <c r="BD436" s="1648"/>
      <c r="BE436" s="1630"/>
      <c r="BF436" s="1630" t="str">
        <f>IF(T436="","",T436)</f>
        <v/>
      </c>
      <c r="BG436" s="1630"/>
      <c r="BH436" s="1630"/>
      <c r="BI436" s="1641">
        <v>0</v>
      </c>
    </row>
    <row customHeight="1" ht="14.25">
      <c r="A437" s="1369"/>
      <c r="B437" s="1369"/>
      <c r="C437" s="1369"/>
      <c r="D437" s="1369"/>
      <c r="E437" s="2265"/>
      <c r="F437" s="2265"/>
      <c r="G437" s="2265"/>
      <c r="H437" s="2265"/>
      <c r="I437" s="2292"/>
      <c r="J437" s="2292"/>
      <c r="K437" s="2262" t="str">
        <f>S65&amp;".15"</f>
        <v>2.1.1.15</v>
      </c>
      <c r="L437" s="1375"/>
      <c r="M437" s="1782"/>
      <c r="N437" s="1782"/>
      <c r="O437" s="1782"/>
      <c r="P437" s="2380"/>
      <c r="Q437" s="2380"/>
      <c r="R437" s="689" t="s">
        <v>253</v>
      </c>
      <c r="S437" s="2347" t="str">
        <f>$K437</f>
        <v>2.1.1.15</v>
      </c>
      <c r="T437" s="2366" t="s">
        <v>552</v>
      </c>
      <c r="U437" s="306"/>
      <c r="V437" s="757"/>
      <c r="W437" s="1263"/>
      <c r="X437" s="757"/>
      <c r="Y437" s="1263"/>
      <c r="Z437" s="2608"/>
      <c r="AA437" s="2113" t="s">
        <v>62</v>
      </c>
      <c r="AB437" s="2608"/>
      <c r="AC437" s="2113" t="s">
        <v>62</v>
      </c>
      <c r="AD437" s="2191" t="s">
        <v>19</v>
      </c>
      <c r="AE437" s="2332"/>
      <c r="AF437" s="2443">
        <v>1</v>
      </c>
      <c r="AG437" s="2682" t="s">
        <v>28</v>
      </c>
      <c r="AH437" s="2113" t="s">
        <v>62</v>
      </c>
      <c r="AI437" s="2332"/>
      <c r="AJ437" s="2443">
        <v>1</v>
      </c>
      <c r="AK437" s="2333" t="s">
        <v>535</v>
      </c>
      <c r="AL437" s="2113" t="s">
        <v>19</v>
      </c>
      <c r="AM437" s="2300"/>
      <c r="AN437" s="2443">
        <v>1</v>
      </c>
      <c r="AO437" s="2683" t="s">
        <v>28</v>
      </c>
      <c r="AP437" s="2364" t="s">
        <v>62</v>
      </c>
      <c r="AQ437" s="317"/>
      <c r="AR437" s="2443">
        <v>1</v>
      </c>
      <c r="AS437" s="2582" t="s">
        <v>541</v>
      </c>
      <c r="AT437" s="757"/>
      <c r="AU437" s="1263"/>
      <c r="AV437" s="757"/>
      <c r="AW437" s="1263">
        <v>15380.86</v>
      </c>
      <c r="AX437" s="2608">
        <v>46023.623819444445</v>
      </c>
      <c r="AY437" s="2113" t="s">
        <v>62</v>
      </c>
      <c r="AZ437" s="2608">
        <v>46387.660625</v>
      </c>
      <c r="BA437" s="2113" t="s">
        <v>62</v>
      </c>
      <c r="BB437" s="1354"/>
      <c r="BC437" s="2259" t="s">
        <v>514</v>
      </c>
      <c r="BD437" s="1648"/>
      <c r="BE437" s="1630"/>
      <c r="BF437" s="1630" t="str">
        <f>IF(T437="","",T437)</f>
        <v>Бесканальная прокладка трубопроводов водоснабжения Изопрофлекс АРТИК-У, диаметр труб:</v>
      </c>
      <c r="BG437" s="1630"/>
      <c r="BH437" s="1630"/>
      <c r="BI437" s="1641">
        <v>0</v>
      </c>
    </row>
    <row customHeight="1" ht="14.25">
      <c r="A438" s="1369"/>
      <c r="B438" s="1369"/>
      <c r="C438" s="1369"/>
      <c r="D438" s="1369"/>
      <c r="E438" s="2265"/>
      <c r="F438" s="2265"/>
      <c r="G438" s="2265"/>
      <c r="H438" s="2265"/>
      <c r="I438" s="2292"/>
      <c r="J438" s="2292"/>
      <c r="K438" s="2262" t="str">
        <f>S65&amp;".14"</f>
        <v>2.1.1.14</v>
      </c>
      <c r="L438" s="1375"/>
      <c r="M438" s="1782"/>
      <c r="N438" s="1782"/>
      <c r="O438" s="1782"/>
      <c r="P438" s="2380"/>
      <c r="Q438" s="2380"/>
      <c r="R438" s="2353"/>
      <c r="S438" s="2348"/>
      <c r="T438" s="2367"/>
      <c r="U438" s="306"/>
      <c r="V438" s="7273"/>
      <c r="W438" s="7274"/>
      <c r="X438" s="7275"/>
      <c r="Y438" s="7276"/>
      <c r="Z438" s="7277"/>
      <c r="AA438" s="7278"/>
      <c r="AB438" s="7279"/>
      <c r="AC438" s="7280"/>
      <c r="AD438" s="2192"/>
      <c r="AE438" s="2332"/>
      <c r="AF438" s="2443"/>
      <c r="AG438" s="2682" t="s">
        <v>28</v>
      </c>
      <c r="AH438" s="2113"/>
      <c r="AI438" s="2332"/>
      <c r="AJ438" s="2443"/>
      <c r="AK438" s="2333"/>
      <c r="AL438" s="2113"/>
      <c r="AM438" s="2301"/>
      <c r="AN438" s="2443"/>
      <c r="AO438" s="2683" t="s">
        <v>28</v>
      </c>
      <c r="AP438" s="2365"/>
      <c r="AQ438" s="7281"/>
      <c r="AR438" s="7282"/>
      <c r="AS438" s="7283" t="s">
        <v>515</v>
      </c>
      <c r="AT438" s="7284"/>
      <c r="AU438" s="7285"/>
      <c r="AV438" s="7286"/>
      <c r="AW438" s="7287"/>
      <c r="AX438" s="7288"/>
      <c r="AY438" s="7289"/>
      <c r="AZ438" s="7290"/>
      <c r="BA438" s="7291"/>
      <c r="BB438" s="7292"/>
      <c r="BC438" s="2260"/>
      <c r="BD438" s="1648"/>
      <c r="BE438" s="1630"/>
      <c r="BF438" s="1630"/>
      <c r="BG438" s="1630"/>
      <c r="BH438" s="1630"/>
      <c r="BI438" s="1641">
        <v>0</v>
      </c>
    </row>
    <row customHeight="1" ht="14.25">
      <c r="A439" s="1369"/>
      <c r="B439" s="1369"/>
      <c r="C439" s="1369"/>
      <c r="D439" s="1369"/>
      <c r="E439" s="2265"/>
      <c r="F439" s="2265"/>
      <c r="G439" s="2265"/>
      <c r="H439" s="2265"/>
      <c r="I439" s="2292"/>
      <c r="J439" s="2292"/>
      <c r="K439" s="2262" t="str">
        <f>S65&amp;".14"</f>
        <v>2.1.1.14</v>
      </c>
      <c r="L439" s="1375"/>
      <c r="M439" s="1782"/>
      <c r="N439" s="1782"/>
      <c r="O439" s="1782"/>
      <c r="P439" s="2380"/>
      <c r="Q439" s="2380"/>
      <c r="R439" s="2353"/>
      <c r="S439" s="2348"/>
      <c r="T439" s="2367"/>
      <c r="U439" s="306"/>
      <c r="V439" s="7293"/>
      <c r="W439" s="7294"/>
      <c r="X439" s="7295"/>
      <c r="Y439" s="7296"/>
      <c r="Z439" s="7297"/>
      <c r="AA439" s="7298"/>
      <c r="AB439" s="7299"/>
      <c r="AC439" s="7300"/>
      <c r="AD439" s="2192"/>
      <c r="AE439" s="2332"/>
      <c r="AF439" s="2443"/>
      <c r="AG439" s="2682" t="s">
        <v>28</v>
      </c>
      <c r="AH439" s="2113"/>
      <c r="AI439" s="2332"/>
      <c r="AJ439" s="2443"/>
      <c r="AK439" s="2333"/>
      <c r="AL439" s="2113"/>
      <c r="AM439" s="7301"/>
      <c r="AN439" s="7302"/>
      <c r="AO439" s="7303" t="s">
        <v>516</v>
      </c>
      <c r="AP439" s="7304"/>
      <c r="AQ439" s="7305"/>
      <c r="AR439" s="7306"/>
      <c r="AS439" s="7307"/>
      <c r="AT439" s="7308"/>
      <c r="AU439" s="7309"/>
      <c r="AV439" s="7310"/>
      <c r="AW439" s="7311"/>
      <c r="AX439" s="7312"/>
      <c r="AY439" s="7313"/>
      <c r="AZ439" s="7314"/>
      <c r="BA439" s="7315"/>
      <c r="BB439" s="7316"/>
      <c r="BC439" s="2260"/>
      <c r="BD439" s="1648"/>
      <c r="BE439" s="1630"/>
      <c r="BF439" s="1630"/>
      <c r="BG439" s="1630"/>
      <c r="BH439" s="1630"/>
      <c r="BI439" s="1641">
        <v>0</v>
      </c>
    </row>
    <row customHeight="1" ht="14.25">
      <c r="A440" s="1369"/>
      <c r="B440" s="1369"/>
      <c r="C440" s="1369"/>
      <c r="D440" s="1369"/>
      <c r="E440" s="2265"/>
      <c r="F440" s="2265"/>
      <c r="G440" s="2265"/>
      <c r="H440" s="2265"/>
      <c r="I440" s="2292"/>
      <c r="J440" s="2292"/>
      <c r="K440" s="2262" t="str">
        <f>S65&amp;".14"</f>
        <v>2.1.1.14</v>
      </c>
      <c r="L440" s="1375"/>
      <c r="M440" s="1782"/>
      <c r="N440" s="1782"/>
      <c r="O440" s="1782"/>
      <c r="P440" s="2380"/>
      <c r="Q440" s="2380"/>
      <c r="R440" s="2353"/>
      <c r="S440" s="2348"/>
      <c r="T440" s="2367"/>
      <c r="U440" s="306"/>
      <c r="V440" s="7317"/>
      <c r="W440" s="7318"/>
      <c r="X440" s="7319"/>
      <c r="Y440" s="7320"/>
      <c r="Z440" s="7321"/>
      <c r="AA440" s="7322"/>
      <c r="AB440" s="7323"/>
      <c r="AC440" s="7324"/>
      <c r="AD440" s="2192"/>
      <c r="AE440" s="2332"/>
      <c r="AF440" s="2443"/>
      <c r="AG440" s="2682" t="s">
        <v>28</v>
      </c>
      <c r="AH440" s="2113"/>
      <c r="AI440" s="7325"/>
      <c r="AJ440" s="7326"/>
      <c r="AK440" s="7327" t="s">
        <v>517</v>
      </c>
      <c r="AL440" s="7328"/>
      <c r="AM440" s="7329"/>
      <c r="AN440" s="7330"/>
      <c r="AO440" s="7331"/>
      <c r="AP440" s="7332"/>
      <c r="AQ440" s="7333"/>
      <c r="AR440" s="7334"/>
      <c r="AS440" s="7335"/>
      <c r="AT440" s="7336"/>
      <c r="AU440" s="7337"/>
      <c r="AV440" s="7338"/>
      <c r="AW440" s="7339"/>
      <c r="AX440" s="7340"/>
      <c r="AY440" s="7341"/>
      <c r="AZ440" s="7342"/>
      <c r="BA440" s="7343"/>
      <c r="BB440" s="7344"/>
      <c r="BC440" s="2260"/>
      <c r="BD440" s="1648"/>
      <c r="BE440" s="1630"/>
      <c r="BF440" s="1630"/>
      <c r="BG440" s="1630"/>
      <c r="BH440" s="1630"/>
      <c r="BI440" s="1641">
        <v>0</v>
      </c>
    </row>
    <row customHeight="1" ht="14.25">
      <c r="A441" s="1369"/>
      <c r="B441" s="1369"/>
      <c r="C441" s="1369"/>
      <c r="D441" s="1369"/>
      <c r="E441" s="2265"/>
      <c r="F441" s="2265"/>
      <c r="G441" s="2265"/>
      <c r="H441" s="2265"/>
      <c r="I441" s="2292"/>
      <c r="J441" s="2292"/>
      <c r="K441" s="2262" t="str">
        <f>S65&amp;".14"</f>
        <v>2.1.1.14</v>
      </c>
      <c r="L441" s="1375"/>
      <c r="M441" s="1782"/>
      <c r="N441" s="1782"/>
      <c r="O441" s="1782"/>
      <c r="P441" s="2380"/>
      <c r="Q441" s="2380"/>
      <c r="R441" s="2353"/>
      <c r="S441" s="2349"/>
      <c r="T441" s="2368"/>
      <c r="U441" s="306"/>
      <c r="V441" s="7345"/>
      <c r="W441" s="7346" t="str">
        <f>Z437&amp;"-"&amp;AB437</f>
        <v>-</v>
      </c>
      <c r="X441" s="7347"/>
      <c r="Y441" s="7348" t="str">
        <f>AB437&amp;"-"&amp;AD437</f>
        <v>-нет</v>
      </c>
      <c r="Z441" s="7349"/>
      <c r="AA441" s="7350"/>
      <c r="AB441" s="7351"/>
      <c r="AC441" s="7352"/>
      <c r="AD441" s="2118"/>
      <c r="AE441" s="7353"/>
      <c r="AF441" s="7354"/>
      <c r="AG441" s="7355" t="s">
        <v>518</v>
      </c>
      <c r="AH441" s="7356"/>
      <c r="AI441" s="7357"/>
      <c r="AJ441" s="7358"/>
      <c r="AK441" s="7359"/>
      <c r="AL441" s="7360"/>
      <c r="AM441" s="7361"/>
      <c r="AN441" s="7362"/>
      <c r="AO441" s="7363"/>
      <c r="AP441" s="7364"/>
      <c r="AQ441" s="7365"/>
      <c r="AR441" s="7366"/>
      <c r="AS441" s="7367"/>
      <c r="AT441" s="7368"/>
      <c r="AU441" s="7369" t="str">
        <f>AX437&amp;"-"&amp;AZ437</f>
        <v>46023.623819444445-46387.660625</v>
      </c>
      <c r="AV441" s="7370"/>
      <c r="AW441" s="7371" t="str">
        <f>AZ437&amp;"-"&amp;BB437</f>
        <v>46387.660625-</v>
      </c>
      <c r="AX441" s="7372"/>
      <c r="AY441" s="7373"/>
      <c r="AZ441" s="7374"/>
      <c r="BA441" s="7375"/>
      <c r="BB441" s="7376" t="str">
        <f>BE437&amp;"-"&amp;BG437</f>
        <v>-</v>
      </c>
      <c r="BC441" s="2260"/>
      <c r="BD441" s="1648"/>
      <c r="BE441" s="1630"/>
      <c r="BF441" s="1630" t="str">
        <f>IF(T441="","",T441)</f>
        <v/>
      </c>
      <c r="BG441" s="1630"/>
      <c r="BH441" s="1630"/>
      <c r="BI441" s="1641">
        <v>0</v>
      </c>
    </row>
    <row s="1856" customFormat="1" customHeight="1" ht="11.25">
      <c r="A442" s="1369"/>
      <c r="B442" s="1369"/>
      <c r="C442" s="1369"/>
      <c r="D442" s="1369"/>
      <c r="E442" s="2265">
        <v>1</v>
      </c>
      <c r="F442" s="2265"/>
      <c r="G442" s="2265"/>
      <c r="H442" s="2265"/>
      <c r="I442" s="2292"/>
      <c r="J442" s="2262"/>
      <c r="K442" s="1369"/>
      <c r="L442" s="1375"/>
      <c r="M442" s="1782"/>
      <c r="N442" s="1782"/>
      <c r="O442" s="1782"/>
      <c r="P442" s="2380"/>
      <c r="Q442" s="2380"/>
      <c r="R442" s="362"/>
      <c r="S442" s="2892"/>
      <c r="T442" s="2893" t="s">
        <v>481</v>
      </c>
      <c r="U442" s="2894"/>
      <c r="V442" s="2895"/>
      <c r="W442" s="2896"/>
      <c r="X442" s="2897"/>
      <c r="Y442" s="2898"/>
      <c r="Z442" s="2899"/>
      <c r="AA442" s="2900"/>
      <c r="AB442" s="2901"/>
      <c r="AC442" s="2902"/>
      <c r="AD442" s="2903"/>
      <c r="AE442" s="2904"/>
      <c r="AF442" s="2905"/>
      <c r="AG442" s="2906"/>
      <c r="AH442" s="2907"/>
      <c r="AI442" s="2908"/>
      <c r="AJ442" s="2909"/>
      <c r="AK442" s="2910"/>
      <c r="AL442" s="2911"/>
      <c r="AM442" s="2912"/>
      <c r="AN442" s="2913"/>
      <c r="AO442" s="2914"/>
      <c r="AP442" s="2915"/>
      <c r="AQ442" s="2916"/>
      <c r="AR442" s="2917"/>
      <c r="AS442" s="2918"/>
      <c r="AT442" s="2919"/>
      <c r="AU442" s="2920"/>
      <c r="AV442" s="2921"/>
      <c r="AW442" s="2922"/>
      <c r="AX442" s="2923"/>
      <c r="AY442" s="2924"/>
      <c r="AZ442" s="2925"/>
      <c r="BA442" s="2926"/>
      <c r="BB442" s="2927"/>
      <c r="BC442" s="2261"/>
      <c r="BD442" s="1648"/>
      <c r="BE442" s="1630"/>
      <c r="BF442" s="1630" t="str">
        <f>IF(T442="","",T442)</f>
        <v>Добавить строку</v>
      </c>
      <c r="BG442" s="1630"/>
      <c r="BH442" s="1630"/>
      <c r="BI442" s="1641">
        <v>0</v>
      </c>
    </row>
    <row s="628" customFormat="1" customHeight="1" ht="14.25">
      <c r="A443" s="1349"/>
      <c r="B443" s="1349"/>
      <c r="C443" s="1349"/>
      <c r="D443" s="1349"/>
      <c r="E443" s="2265">
        <v>1</v>
      </c>
      <c r="F443" s="2265"/>
      <c r="G443" s="2265"/>
      <c r="H443" s="2265"/>
      <c r="I443" s="2262"/>
      <c r="J443" s="1349"/>
      <c r="K443" s="1349"/>
      <c r="L443" s="1551"/>
      <c r="M443" s="516"/>
      <c r="N443" s="516"/>
      <c r="O443" s="516"/>
      <c r="P443" s="2380"/>
      <c r="Q443" s="2380"/>
      <c r="R443" s="362"/>
      <c r="S443" s="1392"/>
      <c r="T443" s="1393"/>
      <c r="U443" s="1394"/>
      <c r="V443" s="1394"/>
      <c r="W443" s="1394"/>
      <c r="X443" s="1394"/>
      <c r="Y443" s="1394"/>
      <c r="Z443" s="1394"/>
      <c r="AA443" s="1394"/>
      <c r="AB443" s="1394"/>
      <c r="AC443" s="1394"/>
      <c r="AD443" s="1394"/>
      <c r="AE443" s="1394"/>
      <c r="AF443" s="1394"/>
      <c r="AG443" s="1394"/>
      <c r="AH443" s="1394"/>
      <c r="AI443" s="1394"/>
      <c r="AJ443" s="1394"/>
      <c r="AK443" s="1394"/>
      <c r="AL443" s="1394"/>
      <c r="AM443" s="1394"/>
      <c r="AN443" s="1394"/>
      <c r="AO443" s="1394"/>
      <c r="AP443" s="1394"/>
      <c r="AQ443" s="1394"/>
      <c r="AR443" s="1394"/>
      <c r="AS443" s="1394"/>
      <c r="AT443" s="1394"/>
      <c r="AU443" s="1394"/>
      <c r="AV443" s="1394"/>
      <c r="AW443" s="1394"/>
      <c r="AX443" s="1394"/>
      <c r="AY443" s="1394"/>
      <c r="AZ443" s="1394"/>
      <c r="BA443" s="1394"/>
      <c r="BB443" s="1394"/>
      <c r="BC443" s="1395"/>
      <c r="BD443" s="1648"/>
      <c r="BE443" s="1630"/>
      <c r="BF443" s="1630" t="str">
        <f>IF(T443="","",T443)</f>
        <v/>
      </c>
      <c r="BG443" s="1630"/>
      <c r="BH443" s="1630"/>
      <c r="BI443" s="1648">
        <v>0</v>
      </c>
    </row>
    <row s="628" customFormat="1" customHeight="1" ht="14.25">
      <c r="A444" s="1349"/>
      <c r="B444" s="1349"/>
      <c r="C444" s="1349"/>
      <c r="D444" s="1349"/>
      <c r="E444" s="2265">
        <v>1</v>
      </c>
      <c r="F444" s="2265"/>
      <c r="G444" s="2265"/>
      <c r="H444" s="2264"/>
      <c r="I444" s="1349"/>
      <c r="J444" s="1349"/>
      <c r="K444" s="1349"/>
      <c r="L444" s="1551"/>
      <c r="M444" s="1321"/>
      <c r="N444" s="1321"/>
      <c r="O444" s="1648"/>
      <c r="P444" s="1322"/>
      <c r="Q444" s="1350"/>
      <c r="R444" s="1407"/>
      <c r="S444" s="1392"/>
      <c r="T444" s="1393"/>
      <c r="U444" s="1394"/>
      <c r="V444" s="1394"/>
      <c r="W444" s="1394"/>
      <c r="X444" s="1394"/>
      <c r="Y444" s="1394"/>
      <c r="Z444" s="1394"/>
      <c r="AA444" s="1394"/>
      <c r="AB444" s="1394"/>
      <c r="AC444" s="1394"/>
      <c r="AD444" s="1394"/>
      <c r="AE444" s="1394"/>
      <c r="AF444" s="1394"/>
      <c r="AG444" s="1394"/>
      <c r="AH444" s="1394"/>
      <c r="AI444" s="1394"/>
      <c r="AJ444" s="1394"/>
      <c r="AK444" s="1394"/>
      <c r="AL444" s="1394"/>
      <c r="AM444" s="1394"/>
      <c r="AN444" s="1394"/>
      <c r="AO444" s="1394"/>
      <c r="AP444" s="1394"/>
      <c r="AQ444" s="1394"/>
      <c r="AR444" s="1394"/>
      <c r="AS444" s="1394"/>
      <c r="AT444" s="1394"/>
      <c r="AU444" s="1394"/>
      <c r="AV444" s="1394"/>
      <c r="AW444" s="1394"/>
      <c r="AX444" s="1394"/>
      <c r="AY444" s="1394"/>
      <c r="AZ444" s="1394"/>
      <c r="BA444" s="1394"/>
      <c r="BB444" s="1394"/>
      <c r="BC444" s="1395"/>
      <c r="BD444" s="1648"/>
      <c r="BE444" s="1630"/>
      <c r="BF444" s="1630" t="str">
        <f>IF(T444="","",T444)</f>
        <v/>
      </c>
      <c r="BG444" s="1630"/>
      <c r="BH444" s="1630"/>
      <c r="BI444" s="1648">
        <v>0</v>
      </c>
    </row>
    <row s="628" customFormat="1" customHeight="1" ht="14.25">
      <c r="A445" s="1349"/>
      <c r="B445" s="1349"/>
      <c r="C445" s="1349"/>
      <c r="D445" s="1349"/>
      <c r="E445" s="2265">
        <v>1</v>
      </c>
      <c r="F445" s="2265"/>
      <c r="G445" s="2264"/>
      <c r="H445" s="1349"/>
      <c r="I445" s="1349"/>
      <c r="J445" s="1349"/>
      <c r="K445" s="1349"/>
      <c r="L445" s="1551"/>
      <c r="M445" s="1321"/>
      <c r="N445" s="1321"/>
      <c r="O445" s="1648"/>
      <c r="P445" s="1322"/>
      <c r="Q445" s="1350"/>
      <c r="R445" s="1322"/>
      <c r="S445" s="1328"/>
      <c r="T445" s="1331"/>
      <c r="U445" s="1330"/>
      <c r="V445" s="1330"/>
      <c r="W445" s="1330"/>
      <c r="X445" s="1330"/>
      <c r="Y445" s="1330"/>
      <c r="Z445" s="1330"/>
      <c r="AA445" s="1330"/>
      <c r="AB445" s="1330"/>
      <c r="AC445" s="1330"/>
      <c r="AD445" s="1330"/>
      <c r="AE445" s="1330"/>
      <c r="AF445" s="1330"/>
      <c r="AG445" s="1330"/>
      <c r="AH445" s="1330"/>
      <c r="AI445" s="1330"/>
      <c r="AJ445" s="1330"/>
      <c r="AK445" s="1330"/>
      <c r="AL445" s="1330"/>
      <c r="AM445" s="1330"/>
      <c r="AN445" s="1330"/>
      <c r="AO445" s="1330"/>
      <c r="AP445" s="1330"/>
      <c r="AQ445" s="1330"/>
      <c r="AR445" s="1330"/>
      <c r="AS445" s="1330"/>
      <c r="AT445" s="1330"/>
      <c r="AU445" s="1330"/>
      <c r="AV445" s="1330"/>
      <c r="AW445" s="1330"/>
      <c r="AX445" s="1330"/>
      <c r="AY445" s="1330"/>
      <c r="AZ445" s="1330"/>
      <c r="BA445" s="1330"/>
      <c r="BB445" s="1330"/>
      <c r="BC445" s="1330"/>
      <c r="BD445" s="1648"/>
      <c r="BE445" s="1630"/>
      <c r="BF445" s="1630" t="str">
        <f>IF(T445="","",T445)</f>
        <v/>
      </c>
      <c r="BG445" s="1630"/>
      <c r="BH445" s="1630"/>
      <c r="BI445" s="1648">
        <v>0</v>
      </c>
    </row>
    <row s="628" customFormat="1" customHeight="1" ht="14.25">
      <c r="A446" s="1349"/>
      <c r="B446" s="1349"/>
      <c r="C446" s="1349"/>
      <c r="D446" s="1349"/>
      <c r="E446" s="2265">
        <v>1</v>
      </c>
      <c r="F446" s="2264"/>
      <c r="G446" s="1349"/>
      <c r="H446" s="1349"/>
      <c r="I446" s="1349"/>
      <c r="J446" s="1349"/>
      <c r="K446" s="1349"/>
      <c r="L446" s="1551"/>
      <c r="M446" s="1327"/>
      <c r="N446" s="1327"/>
      <c r="O446" s="1648"/>
      <c r="P446" s="1322"/>
      <c r="Q446" s="1350"/>
      <c r="R446" s="1322"/>
      <c r="S446" s="1328"/>
      <c r="T446" s="1331" t="s">
        <v>251</v>
      </c>
      <c r="U446" s="1330"/>
      <c r="V446" s="1330"/>
      <c r="W446" s="1330"/>
      <c r="X446" s="1330"/>
      <c r="Y446" s="1330"/>
      <c r="Z446" s="1330"/>
      <c r="AA446" s="1330"/>
      <c r="AB446" s="1330"/>
      <c r="AC446" s="1330"/>
      <c r="AD446" s="1330"/>
      <c r="AE446" s="1330"/>
      <c r="AF446" s="1330"/>
      <c r="AG446" s="1330"/>
      <c r="AH446" s="1330"/>
      <c r="AI446" s="1330"/>
      <c r="AJ446" s="1330"/>
      <c r="AK446" s="1330"/>
      <c r="AL446" s="1330"/>
      <c r="AM446" s="1330"/>
      <c r="AN446" s="1330"/>
      <c r="AO446" s="1330"/>
      <c r="AP446" s="1330"/>
      <c r="AQ446" s="1330"/>
      <c r="AR446" s="1330"/>
      <c r="AS446" s="1330"/>
      <c r="AT446" s="1330"/>
      <c r="AU446" s="1330"/>
      <c r="AV446" s="1330"/>
      <c r="AW446" s="1330"/>
      <c r="AX446" s="1330"/>
      <c r="AY446" s="1330"/>
      <c r="AZ446" s="1330"/>
      <c r="BA446" s="1330"/>
      <c r="BB446" s="1330"/>
      <c r="BC446" s="1330"/>
      <c r="BD446" s="1648"/>
      <c r="BE446" s="1630"/>
      <c r="BF446" s="1630" t="str">
        <f>IF(T446="","",T446)</f>
        <v>Добавить централизованную систему для дифференциации</v>
      </c>
      <c r="BG446" s="1630"/>
      <c r="BH446" s="1630"/>
      <c r="BI446" s="1648">
        <v>0</v>
      </c>
    </row>
    <row s="628" customFormat="1" customHeight="1" ht="14.25">
      <c r="A447" s="1349"/>
      <c r="B447" s="1349"/>
      <c r="C447" s="1349"/>
      <c r="D447" s="1349"/>
      <c r="E447" s="2264">
        <v>1</v>
      </c>
      <c r="F447" s="1349"/>
      <c r="G447" s="1349"/>
      <c r="H447" s="1349"/>
      <c r="I447" s="1349"/>
      <c r="J447" s="1349"/>
      <c r="K447" s="1349"/>
      <c r="L447" s="1551"/>
      <c r="M447" s="1327"/>
      <c r="N447" s="1327"/>
      <c r="O447" s="1648"/>
      <c r="P447" s="1322"/>
      <c r="Q447" s="1350"/>
      <c r="R447" s="1322"/>
      <c r="S447" s="1328"/>
      <c r="T447" s="1331" t="s">
        <v>252</v>
      </c>
      <c r="U447" s="1330"/>
      <c r="V447" s="1330"/>
      <c r="W447" s="1330"/>
      <c r="X447" s="1330"/>
      <c r="Y447" s="1330"/>
      <c r="Z447" s="1330"/>
      <c r="AA447" s="1330"/>
      <c r="AB447" s="1330"/>
      <c r="AC447" s="1330"/>
      <c r="AD447" s="1330"/>
      <c r="AE447" s="1330"/>
      <c r="AF447" s="1330"/>
      <c r="AG447" s="1330"/>
      <c r="AH447" s="1330"/>
      <c r="AI447" s="1330"/>
      <c r="AJ447" s="1330"/>
      <c r="AK447" s="1330"/>
      <c r="AL447" s="1330"/>
      <c r="AM447" s="1330"/>
      <c r="AN447" s="1330"/>
      <c r="AO447" s="1330"/>
      <c r="AP447" s="1330"/>
      <c r="AQ447" s="1330"/>
      <c r="AR447" s="1330"/>
      <c r="AS447" s="1330"/>
      <c r="AT447" s="1330"/>
      <c r="AU447" s="1330"/>
      <c r="AV447" s="1330"/>
      <c r="AW447" s="1330"/>
      <c r="AX447" s="1330"/>
      <c r="AY447" s="1330"/>
      <c r="AZ447" s="1330"/>
      <c r="BA447" s="1330"/>
      <c r="BB447" s="1330"/>
      <c r="BC447" s="1330"/>
      <c r="BD447" s="1648"/>
      <c r="BE447" s="1630"/>
      <c r="BF447" s="1630" t="str">
        <f>IF(T447="","",T447)</f>
        <v>Добавить территорию для дифференциации</v>
      </c>
      <c r="BG447" s="1630"/>
      <c r="BH447" s="1630"/>
      <c r="BI447" s="1648">
        <v>0</v>
      </c>
    </row>
    <row s="1856" customFormat="1" customHeight="1" ht="21">
      <c r="A448" s="1369" t="s">
        <v>260</v>
      </c>
      <c r="B448" s="1369"/>
      <c r="C448" s="1369"/>
      <c r="D448" s="1369"/>
      <c r="E448" s="2264" t="s">
        <v>91</v>
      </c>
      <c r="F448" s="1369"/>
      <c r="G448" s="1369"/>
      <c r="H448" s="1369"/>
      <c r="I448" s="1369"/>
      <c r="J448" s="1369"/>
      <c r="K448" s="1369"/>
      <c r="L448" s="1375"/>
      <c r="M448" s="1371"/>
      <c r="N448" s="1371"/>
      <c r="O448" s="1371"/>
      <c r="P448" s="1782"/>
      <c r="Q448" s="1689"/>
      <c r="R448" s="361"/>
      <c r="S448" s="2279" t="str">
        <f>INDEX(PT_DIFFERENTIATION_NUM_NTAR,MATCH(A448,PT_DIFFERENTIATION_NTAR_ID,0))</f>
        <v>3</v>
      </c>
      <c r="T448" s="1531" t="s">
        <v>125</v>
      </c>
      <c r="U448" s="306"/>
      <c r="V448" s="2249"/>
      <c r="W448" s="2249"/>
      <c r="X448" s="2249"/>
      <c r="Y448" s="2249"/>
      <c r="Z448" s="2249"/>
      <c r="AA448" s="2249"/>
      <c r="AB448" s="2249"/>
      <c r="AC448" s="2250"/>
      <c r="AD448" s="2248" t="str">
        <f>INDEX(PT_DIFFERENTIATION_NTAR,MATCH(A448,PT_DIFFERENTIATION_NTAR_ID,0))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(с учетом расходов на благоустройство)</v>
      </c>
      <c r="AE448" s="2249"/>
      <c r="AF448" s="2249"/>
      <c r="AG448" s="2249"/>
      <c r="AH448" s="2249"/>
      <c r="AI448" s="2249"/>
      <c r="AJ448" s="2249"/>
      <c r="AK448" s="2249"/>
      <c r="AL448" s="2249"/>
      <c r="AM448" s="2249"/>
      <c r="AN448" s="2249"/>
      <c r="AO448" s="2249"/>
      <c r="AP448" s="2249"/>
      <c r="AQ448" s="2249"/>
      <c r="AR448" s="2249"/>
      <c r="AS448" s="2249"/>
      <c r="AT448" s="2249"/>
      <c r="AU448" s="2249"/>
      <c r="AV448" s="2249"/>
      <c r="AW448" s="2249"/>
      <c r="AX448" s="2249"/>
      <c r="AY448" s="2249"/>
      <c r="AZ448" s="2249"/>
      <c r="BA448" s="2249"/>
      <c r="BB448" s="2250"/>
      <c r="BC448"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448" s="1648"/>
      <c r="BE448" s="1630"/>
      <c r="BF448" s="1630" t="str">
        <f>IF(T448="","",T448)</f>
        <v>Наименование тарифа</v>
      </c>
      <c r="BG448" s="1630"/>
      <c r="BH448" s="1630"/>
      <c r="BI448" s="1641">
        <v>0</v>
      </c>
    </row>
    <row s="1856" customFormat="1" customHeight="1" ht="21">
      <c r="A449" s="1369"/>
      <c r="B449" s="1369" t="s">
        <v>261</v>
      </c>
      <c r="C449" s="1369"/>
      <c r="D449" s="1369"/>
      <c r="E449" s="2265" t="s">
        <v>112</v>
      </c>
      <c r="F449" s="2264">
        <v>1</v>
      </c>
      <c r="G449" s="1369"/>
      <c r="H449" s="1369"/>
      <c r="I449" s="1369"/>
      <c r="J449" s="1369"/>
      <c r="K449" s="1369"/>
      <c r="L449" s="1375"/>
      <c r="M449" s="1371"/>
      <c r="N449" s="1371"/>
      <c r="O449" s="1371"/>
      <c r="P449" s="2613"/>
      <c r="Q449" s="1417"/>
      <c r="R449" s="359"/>
      <c r="S449" s="2279" t="str">
        <f>INDEX(PT_DIFFERENTIATION_NUM_TER,MATCH(B449,PT_DIFFERENTIATION_TER_ID,0))</f>
        <v>3.1</v>
      </c>
      <c r="T449" s="1528" t="s">
        <v>413</v>
      </c>
      <c r="U449" s="306"/>
      <c r="V449" s="2249"/>
      <c r="W449" s="2249"/>
      <c r="X449" s="2249"/>
      <c r="Y449" s="2249"/>
      <c r="Z449" s="2249"/>
      <c r="AA449" s="2249"/>
      <c r="AB449" s="2249"/>
      <c r="AC449" s="2250"/>
      <c r="AD449" s="2248" t="str">
        <f>INDEX(PT_DIFFERENTIATION_TER,MATCH(B449,PT_DIFFERENTIATION_TER_ID,0))</f>
        <v>без дифференциации</v>
      </c>
      <c r="AE449" s="2249"/>
      <c r="AF449" s="2249"/>
      <c r="AG449" s="2249"/>
      <c r="AH449" s="2249"/>
      <c r="AI449" s="2249"/>
      <c r="AJ449" s="2249"/>
      <c r="AK449" s="2249"/>
      <c r="AL449" s="2249"/>
      <c r="AM449" s="2249"/>
      <c r="AN449" s="2249"/>
      <c r="AO449" s="2249"/>
      <c r="AP449" s="2249"/>
      <c r="AQ449" s="2249"/>
      <c r="AR449" s="2249"/>
      <c r="AS449" s="2249"/>
      <c r="AT449" s="2249"/>
      <c r="AU449" s="2249"/>
      <c r="AV449" s="2249"/>
      <c r="AW449" s="2249"/>
      <c r="AX449" s="2249"/>
      <c r="AY449" s="2249"/>
      <c r="AZ449" s="2249"/>
      <c r="BA449" s="2249"/>
      <c r="BB449" s="2250"/>
      <c r="BC449" s="1264" t="s">
        <v>414</v>
      </c>
      <c r="BD449" s="1648"/>
      <c r="BE449" s="1630"/>
      <c r="BF449" s="1630" t="str">
        <f>IF(T449="","",T449)</f>
        <v>Территория действия тарифа</v>
      </c>
      <c r="BG449" s="1630"/>
      <c r="BH449" s="1630"/>
      <c r="BI449" s="1641">
        <v>0</v>
      </c>
    </row>
    <row s="1856" customFormat="1" customHeight="1" ht="42">
      <c r="A450" s="1369"/>
      <c r="B450" s="1369"/>
      <c r="C450" s="1369" t="s">
        <v>262</v>
      </c>
      <c r="D450" s="1369"/>
      <c r="E450" s="2265" t="s">
        <v>112</v>
      </c>
      <c r="F450" s="2265"/>
      <c r="G450" s="2264">
        <v>1</v>
      </c>
      <c r="H450" s="1369"/>
      <c r="I450" s="1369"/>
      <c r="J450" s="1369"/>
      <c r="K450" s="1369"/>
      <c r="L450" s="1375"/>
      <c r="M450" s="1371"/>
      <c r="N450" s="1371"/>
      <c r="O450" s="1371"/>
      <c r="P450" s="1418"/>
      <c r="Q450" s="1417"/>
      <c r="R450" s="359"/>
      <c r="S450" s="2279" t="str">
        <f>INDEX(PT_DIFFERENTIATION_NUM_CS,MATCH(C450,PT_DIFFERENTIATION_CS_ID,0))</f>
        <v>3.1.1</v>
      </c>
      <c r="T450" s="315" t="s">
        <v>494</v>
      </c>
      <c r="U450" s="306"/>
      <c r="V450" s="2249"/>
      <c r="W450" s="2249"/>
      <c r="X450" s="2249"/>
      <c r="Y450" s="2249"/>
      <c r="Z450" s="2249"/>
      <c r="AA450" s="2249"/>
      <c r="AB450" s="2249"/>
      <c r="AC450" s="2250"/>
      <c r="AD450" s="2248" t="str">
        <f>INDEX(PT_DIFFERENTIATION_CS,MATCH(C450,PT_DIFFERENTIATION_CS_ID,0))</f>
        <v>без дифференциации</v>
      </c>
      <c r="AE450" s="2249"/>
      <c r="AF450" s="2249"/>
      <c r="AG450" s="2249"/>
      <c r="AH450" s="2249"/>
      <c r="AI450" s="2249"/>
      <c r="AJ450" s="2249"/>
      <c r="AK450" s="2249"/>
      <c r="AL450" s="2249"/>
      <c r="AM450" s="2249"/>
      <c r="AN450" s="2249"/>
      <c r="AO450" s="2249"/>
      <c r="AP450" s="2249"/>
      <c r="AQ450" s="2249"/>
      <c r="AR450" s="2249"/>
      <c r="AS450" s="2249"/>
      <c r="AT450" s="2249"/>
      <c r="AU450" s="2249"/>
      <c r="AV450" s="2249"/>
      <c r="AW450" s="2249"/>
      <c r="AX450" s="2249"/>
      <c r="AY450" s="2249"/>
      <c r="AZ450" s="2249"/>
      <c r="BA450" s="2249"/>
      <c r="BB450" s="2250"/>
      <c r="BC450" s="1264" t="s">
        <v>495</v>
      </c>
      <c r="BD450" s="1648"/>
      <c r="BE450" s="1630"/>
      <c r="BF450" s="1630" t="str">
        <f>IF(T450="","",T450)</f>
        <v>Наименование централизованной системы холодного водоснабжения</v>
      </c>
      <c r="BG450" s="1630"/>
      <c r="BH450" s="1630"/>
      <c r="BI450" s="1641">
        <v>0</v>
      </c>
    </row>
    <row s="628" customFormat="1" customHeight="1" ht="14.25">
      <c r="A451" s="1349"/>
      <c r="B451" s="1349"/>
      <c r="C451" s="1349"/>
      <c r="D451" s="1349"/>
      <c r="E451" s="2265" t="s">
        <v>112</v>
      </c>
      <c r="F451" s="2265"/>
      <c r="G451" s="2265"/>
      <c r="H451" s="2264">
        <v>1</v>
      </c>
      <c r="I451" s="1349"/>
      <c r="J451" s="1349"/>
      <c r="K451" s="1349"/>
      <c r="L451" s="1551"/>
      <c r="M451" s="1321"/>
      <c r="N451" s="1321"/>
      <c r="O451" s="1321"/>
      <c r="P451" s="1503"/>
      <c r="Q451" s="1504"/>
      <c r="R451" s="363"/>
      <c r="S451" s="2310"/>
      <c r="T451" s="1505"/>
      <c r="U451" s="1390"/>
      <c r="V451" s="2303"/>
      <c r="W451" s="2303"/>
      <c r="X451" s="2303"/>
      <c r="Y451" s="2303"/>
      <c r="Z451" s="2303"/>
      <c r="AA451" s="2303"/>
      <c r="AB451" s="2303"/>
      <c r="AC451" s="2304"/>
      <c r="AD451" s="2302"/>
      <c r="AE451" s="2303"/>
      <c r="AF451" s="2303"/>
      <c r="AG451" s="2303"/>
      <c r="AH451" s="2303"/>
      <c r="AI451" s="2303"/>
      <c r="AJ451" s="2303"/>
      <c r="AK451" s="2303"/>
      <c r="AL451" s="2303"/>
      <c r="AM451" s="2303"/>
      <c r="AN451" s="2303"/>
      <c r="AO451" s="2303"/>
      <c r="AP451" s="2303"/>
      <c r="AQ451" s="2303"/>
      <c r="AR451" s="2303"/>
      <c r="AS451" s="2303"/>
      <c r="AT451" s="2303"/>
      <c r="AU451" s="2303"/>
      <c r="AV451" s="2303"/>
      <c r="AW451" s="2303"/>
      <c r="AX451" s="2303"/>
      <c r="AY451" s="2303"/>
      <c r="AZ451" s="2303"/>
      <c r="BA451" s="2303"/>
      <c r="BB451" s="2304"/>
      <c r="BC451" s="1391" t="s">
        <v>418</v>
      </c>
      <c r="BD451" s="1648"/>
      <c r="BE451" s="1630"/>
      <c r="BF451" s="1630" t="str">
        <f>IF(T451="","",T451)</f>
        <v/>
      </c>
      <c r="BG451" s="1630"/>
      <c r="BH451" s="1630"/>
      <c r="BI451" s="1648">
        <v>0</v>
      </c>
    </row>
    <row s="628" customFormat="1" customHeight="1" ht="14.25">
      <c r="A452" s="1349"/>
      <c r="B452" s="1349"/>
      <c r="C452" s="1349"/>
      <c r="D452" s="1349"/>
      <c r="E452" s="2265" t="s">
        <v>112</v>
      </c>
      <c r="F452" s="2265"/>
      <c r="G452" s="2265"/>
      <c r="H452" s="2265"/>
      <c r="I452" s="2262" t="str">
        <f>S451&amp;".1"</f>
        <v>.1</v>
      </c>
      <c r="J452" s="1349"/>
      <c r="K452" s="1349"/>
      <c r="L452" s="1551" t="s">
        <v>419</v>
      </c>
      <c r="M452" s="516"/>
      <c r="N452" s="516"/>
      <c r="O452" s="516"/>
      <c r="P452" s="2380">
        <v>1</v>
      </c>
      <c r="Q452" s="2380"/>
      <c r="R452" s="362"/>
      <c r="S452" s="2310"/>
      <c r="T452" s="1389"/>
      <c r="U452" s="1390"/>
      <c r="V452" s="2303"/>
      <c r="W452" s="2303"/>
      <c r="X452" s="2303"/>
      <c r="Y452" s="2303"/>
      <c r="Z452" s="2303"/>
      <c r="AA452" s="2303"/>
      <c r="AB452" s="2303"/>
      <c r="AC452" s="2304"/>
      <c r="AD452" s="2302"/>
      <c r="AE452" s="2303"/>
      <c r="AF452" s="2303"/>
      <c r="AG452" s="2303"/>
      <c r="AH452" s="2303"/>
      <c r="AI452" s="2303"/>
      <c r="AJ452" s="2303"/>
      <c r="AK452" s="2303"/>
      <c r="AL452" s="2303"/>
      <c r="AM452" s="2303"/>
      <c r="AN452" s="2303"/>
      <c r="AO452" s="2303"/>
      <c r="AP452" s="2303"/>
      <c r="AQ452" s="2303"/>
      <c r="AR452" s="2303"/>
      <c r="AS452" s="2303"/>
      <c r="AT452" s="2303"/>
      <c r="AU452" s="2303"/>
      <c r="AV452" s="2303"/>
      <c r="AW452" s="2303"/>
      <c r="AX452" s="2303"/>
      <c r="AY452" s="2303"/>
      <c r="AZ452" s="2303"/>
      <c r="BA452" s="2303"/>
      <c r="BB452" s="2304"/>
      <c r="BC452" s="1391"/>
      <c r="BD452" s="1648"/>
      <c r="BE452" s="1630"/>
      <c r="BF452" s="1630" t="str">
        <f>IF(T452="","",T452)</f>
        <v/>
      </c>
      <c r="BG452" s="1630"/>
      <c r="BH452" s="1630"/>
      <c r="BI452" s="1648">
        <v>0</v>
      </c>
    </row>
    <row s="628" customFormat="1" customHeight="1" ht="14.25">
      <c r="A453" s="1349"/>
      <c r="B453" s="1349"/>
      <c r="C453" s="1349"/>
      <c r="D453" s="1349"/>
      <c r="E453" s="2265" t="s">
        <v>112</v>
      </c>
      <c r="F453" s="2265"/>
      <c r="G453" s="2265"/>
      <c r="H453" s="2265"/>
      <c r="I453" s="2292"/>
      <c r="J453" s="2262" t="str">
        <f>S451&amp;".1"</f>
        <v>.1</v>
      </c>
      <c r="K453" s="1349"/>
      <c r="L453" s="1551"/>
      <c r="M453" s="516"/>
      <c r="N453" s="516"/>
      <c r="O453" s="516"/>
      <c r="P453" s="2380"/>
      <c r="Q453" s="2380">
        <v>1</v>
      </c>
      <c r="R453" s="363"/>
      <c r="S453" s="2310"/>
      <c r="T453" s="1405"/>
      <c r="U453" s="1390"/>
      <c r="V453" s="2303"/>
      <c r="W453" s="2303"/>
      <c r="X453" s="2303"/>
      <c r="Y453" s="2303"/>
      <c r="Z453" s="2303"/>
      <c r="AA453" s="2303"/>
      <c r="AB453" s="2303"/>
      <c r="AC453" s="2304"/>
      <c r="AD453" s="2302"/>
      <c r="AE453" s="2303"/>
      <c r="AF453" s="2303"/>
      <c r="AG453" s="2303"/>
      <c r="AH453" s="2303"/>
      <c r="AI453" s="2303"/>
      <c r="AJ453" s="2303"/>
      <c r="AK453" s="2303"/>
      <c r="AL453" s="2303"/>
      <c r="AM453" s="2303"/>
      <c r="AN453" s="2303"/>
      <c r="AO453" s="2303"/>
      <c r="AP453" s="2303"/>
      <c r="AQ453" s="2303"/>
      <c r="AR453" s="2303"/>
      <c r="AS453" s="2303"/>
      <c r="AT453" s="2303"/>
      <c r="AU453" s="2303"/>
      <c r="AV453" s="2303"/>
      <c r="AW453" s="2303"/>
      <c r="AX453" s="2303"/>
      <c r="AY453" s="2303"/>
      <c r="AZ453" s="2303"/>
      <c r="BA453" s="2303"/>
      <c r="BB453" s="2304"/>
      <c r="BC453" s="1391"/>
      <c r="BD453" s="1648"/>
      <c r="BE453" s="1630"/>
      <c r="BF453" s="1630" t="str">
        <f>IF(T453="","",T453)</f>
        <v/>
      </c>
      <c r="BG453" s="1630"/>
      <c r="BH453" s="1630"/>
      <c r="BI453" s="1648">
        <v>0</v>
      </c>
    </row>
    <row s="1856" customFormat="1" customHeight="1" ht="15.75">
      <c r="A454" s="1369"/>
      <c r="B454" s="1369"/>
      <c r="C454" s="1369"/>
      <c r="D454" s="1369"/>
      <c r="E454" s="2265" t="s">
        <v>112</v>
      </c>
      <c r="F454" s="2265"/>
      <c r="G454" s="2265"/>
      <c r="H454" s="2265"/>
      <c r="I454" s="2292"/>
      <c r="J454" s="2292"/>
      <c r="K454" s="2262" t="str">
        <f>S450&amp;".1"</f>
        <v>3.1.1.1</v>
      </c>
      <c r="L454" s="1375"/>
      <c r="M454" s="1782"/>
      <c r="N454" s="1782"/>
      <c r="O454" s="1782"/>
      <c r="P454" s="2380"/>
      <c r="Q454" s="2380"/>
      <c r="R454" s="2353">
        <v>1</v>
      </c>
      <c r="S454" s="2347" t="str">
        <f>$K454</f>
        <v>3.1.1.1</v>
      </c>
      <c r="T454" s="2366" t="s">
        <v>531</v>
      </c>
      <c r="U454" s="306"/>
      <c r="V454" s="757"/>
      <c r="W454" s="1263"/>
      <c r="X454" s="757"/>
      <c r="Y454" s="1263"/>
      <c r="Z454" s="2608"/>
      <c r="AA454" s="2113" t="s">
        <v>62</v>
      </c>
      <c r="AB454" s="2608"/>
      <c r="AC454" s="2113" t="s">
        <v>62</v>
      </c>
      <c r="AD454" s="2191" t="s">
        <v>19</v>
      </c>
      <c r="AE454" s="2332"/>
      <c r="AF454" s="2443">
        <v>1</v>
      </c>
      <c r="AG454" s="7379" t="s">
        <v>28</v>
      </c>
      <c r="AH454" s="2113" t="s">
        <v>62</v>
      </c>
      <c r="AI454" s="2332"/>
      <c r="AJ454" s="2443">
        <v>1</v>
      </c>
      <c r="AK454" s="2333" t="s">
        <v>532</v>
      </c>
      <c r="AL454" s="2113" t="s">
        <v>19</v>
      </c>
      <c r="AM454" s="2300"/>
      <c r="AN454" s="2443">
        <v>1</v>
      </c>
      <c r="AO454" s="7378" t="s">
        <v>28</v>
      </c>
      <c r="AP454" s="2364" t="s">
        <v>62</v>
      </c>
      <c r="AQ454" s="317"/>
      <c r="AR454" s="2443">
        <v>1</v>
      </c>
      <c r="AS454" s="2582" t="s">
        <v>541</v>
      </c>
      <c r="AT454" s="757"/>
      <c r="AU454" s="1263"/>
      <c r="AV454" s="757"/>
      <c r="AW454" s="1263">
        <v>3017.57</v>
      </c>
      <c r="AX454" s="2608">
        <v>46023.38101851852</v>
      </c>
      <c r="AY454" s="2113" t="s">
        <v>62</v>
      </c>
      <c r="AZ454" s="2608">
        <v>46387.39189814815</v>
      </c>
      <c r="BA454" s="2113" t="s">
        <v>62</v>
      </c>
      <c r="BB454" s="1354"/>
      <c r="BC454" s="2259" t="s">
        <v>514</v>
      </c>
      <c r="BD454" s="1648"/>
      <c r="BE454" s="1630"/>
      <c r="BF454" s="1630" t="str">
        <f>IF(T454="","",T454)</f>
        <v>Наружные инженерные сети водопровода, разработка грунта с погрузкой в автотранспорт , стальные трубы диаметром:</v>
      </c>
      <c r="BG454" s="1630"/>
      <c r="BH454" s="1630"/>
      <c r="BI454" s="1641">
        <v>0</v>
      </c>
    </row>
    <row customHeight="1" ht="14.25">
      <c r="A455" s="1369"/>
      <c r="B455" s="1369"/>
      <c r="C455" s="1369"/>
      <c r="D455" s="1369"/>
      <c r="E455" s="2265"/>
      <c r="F455" s="2265"/>
      <c r="G455" s="2265"/>
      <c r="H455" s="2265"/>
      <c r="I455" s="2292"/>
      <c r="J455" s="2292"/>
      <c r="K455" s="2262" t="str">
        <f>S451&amp;".1"</f>
        <v>.1</v>
      </c>
      <c r="L455" s="1375"/>
      <c r="M455" s="1782"/>
      <c r="N455" s="1782"/>
      <c r="O455" s="1782"/>
      <c r="P455" s="2380"/>
      <c r="Q455" s="2380"/>
      <c r="R455" s="2353">
        <v>1</v>
      </c>
      <c r="S455" s="2347" t="str">
        <f>$K455</f>
        <v>.1</v>
      </c>
      <c r="T455" s="2366"/>
      <c r="U455" s="306"/>
      <c r="V455" s="757"/>
      <c r="W455" s="1263"/>
      <c r="X455" s="757"/>
      <c r="Y455" s="1263"/>
      <c r="Z455" s="2608"/>
      <c r="AA455" s="2113" t="s">
        <v>62</v>
      </c>
      <c r="AB455" s="2608"/>
      <c r="AC455" s="2113" t="s">
        <v>62</v>
      </c>
      <c r="AD455" s="2191" t="s">
        <v>62</v>
      </c>
      <c r="AE455" s="2332"/>
      <c r="AF455" s="2443">
        <v>1</v>
      </c>
      <c r="AG455" s="2369"/>
      <c r="AH455" s="2113" t="s">
        <v>62</v>
      </c>
      <c r="AI455" s="2332"/>
      <c r="AJ455" s="2443">
        <v>1</v>
      </c>
      <c r="AK455" s="2333" t="s">
        <v>28</v>
      </c>
      <c r="AL455" s="2113" t="s">
        <v>62</v>
      </c>
      <c r="AM455" s="2300"/>
      <c r="AN455" s="2443">
        <v>1</v>
      </c>
      <c r="AO455" s="2363"/>
      <c r="AP455" s="2364" t="s">
        <v>62</v>
      </c>
      <c r="AQ455" s="689" t="s">
        <v>253</v>
      </c>
      <c r="AR455" s="2443" t="s">
        <v>112</v>
      </c>
      <c r="AS455" s="2582" t="s">
        <v>541</v>
      </c>
      <c r="AT455" s="757"/>
      <c r="AU455" s="1263"/>
      <c r="AV455" s="757"/>
      <c r="AW455" s="1263">
        <v>3595.04</v>
      </c>
      <c r="AX455" s="2608">
        <v>46023.381157407406</v>
      </c>
      <c r="AY455" s="2113" t="s">
        <v>62</v>
      </c>
      <c r="AZ455" s="2608">
        <v>46387.39196759259</v>
      </c>
      <c r="BA455" s="2113" t="s">
        <v>62</v>
      </c>
      <c r="BB455" s="1354"/>
      <c r="BC455" s="2259" t="s">
        <v>514</v>
      </c>
      <c r="BD455" s="1648"/>
      <c r="BE455" s="1630"/>
      <c r="BF455" s="1630" t="str">
        <f>IF(T455="","",T455)</f>
        <v/>
      </c>
      <c r="BG455" s="1630"/>
      <c r="BH455" s="1630"/>
      <c r="BI455" s="1641">
        <v>0</v>
      </c>
    </row>
    <row customHeight="1" ht="14.25">
      <c r="A456" s="1369"/>
      <c r="B456" s="1369"/>
      <c r="C456" s="1369"/>
      <c r="D456" s="1369"/>
      <c r="E456" s="2265"/>
      <c r="F456" s="2265"/>
      <c r="G456" s="2265"/>
      <c r="H456" s="2265"/>
      <c r="I456" s="2292"/>
      <c r="J456" s="2292"/>
      <c r="K456" s="2262" t="str">
        <f>S452&amp;".1"</f>
        <v>.1</v>
      </c>
      <c r="L456" s="1375"/>
      <c r="M456" s="1782"/>
      <c r="N456" s="1782"/>
      <c r="O456" s="1782"/>
      <c r="P456" s="2380"/>
      <c r="Q456" s="2380"/>
      <c r="R456" s="2353">
        <v>1</v>
      </c>
      <c r="S456" s="2347" t="str">
        <f>$K456</f>
        <v>.1</v>
      </c>
      <c r="T456" s="2366"/>
      <c r="U456" s="306"/>
      <c r="V456" s="757"/>
      <c r="W456" s="1263"/>
      <c r="X456" s="757"/>
      <c r="Y456" s="1263"/>
      <c r="Z456" s="2608"/>
      <c r="AA456" s="2113" t="s">
        <v>62</v>
      </c>
      <c r="AB456" s="2608"/>
      <c r="AC456" s="2113" t="s">
        <v>62</v>
      </c>
      <c r="AD456" s="2191" t="s">
        <v>62</v>
      </c>
      <c r="AE456" s="2332"/>
      <c r="AF456" s="2443">
        <v>1</v>
      </c>
      <c r="AG456" s="2369"/>
      <c r="AH456" s="2113" t="s">
        <v>62</v>
      </c>
      <c r="AI456" s="2332"/>
      <c r="AJ456" s="2443">
        <v>1</v>
      </c>
      <c r="AK456" s="2333" t="s">
        <v>28</v>
      </c>
      <c r="AL456" s="2113" t="s">
        <v>62</v>
      </c>
      <c r="AM456" s="2300"/>
      <c r="AN456" s="2443">
        <v>1</v>
      </c>
      <c r="AO456" s="2363"/>
      <c r="AP456" s="2364" t="s">
        <v>62</v>
      </c>
      <c r="AQ456" s="689" t="s">
        <v>253</v>
      </c>
      <c r="AR456" s="2443" t="s">
        <v>91</v>
      </c>
      <c r="AS456" s="2582" t="s">
        <v>541</v>
      </c>
      <c r="AT456" s="757"/>
      <c r="AU456" s="1263"/>
      <c r="AV456" s="757"/>
      <c r="AW456" s="1263">
        <v>3765.4</v>
      </c>
      <c r="AX456" s="2608">
        <v>46023.381689814814</v>
      </c>
      <c r="AY456" s="2113" t="s">
        <v>62</v>
      </c>
      <c r="AZ456" s="2608">
        <v>46387.39204861111</v>
      </c>
      <c r="BA456" s="2113" t="s">
        <v>62</v>
      </c>
      <c r="BB456" s="1354"/>
      <c r="BC456" s="2259" t="s">
        <v>514</v>
      </c>
      <c r="BD456" s="1648"/>
      <c r="BE456" s="1630"/>
      <c r="BF456" s="1630" t="str">
        <f>IF(T456="","",T456)</f>
        <v/>
      </c>
      <c r="BG456" s="1630"/>
      <c r="BH456" s="1630"/>
      <c r="BI456" s="1641">
        <v>0</v>
      </c>
    </row>
    <row customHeight="1" ht="14.25">
      <c r="A457" s="1369"/>
      <c r="B457" s="1369"/>
      <c r="C457" s="1369"/>
      <c r="D457" s="1369"/>
      <c r="E457" s="2265"/>
      <c r="F457" s="2265"/>
      <c r="G457" s="2265"/>
      <c r="H457" s="2265"/>
      <c r="I457" s="2292"/>
      <c r="J457" s="2292"/>
      <c r="K457" s="2262" t="str">
        <f>S453&amp;".1"</f>
        <v>.1</v>
      </c>
      <c r="L457" s="1375"/>
      <c r="M457" s="1782"/>
      <c r="N457" s="1782"/>
      <c r="O457" s="1782"/>
      <c r="P457" s="2380"/>
      <c r="Q457" s="2380"/>
      <c r="R457" s="2353">
        <v>1</v>
      </c>
      <c r="S457" s="2347" t="str">
        <f>$K457</f>
        <v>.1</v>
      </c>
      <c r="T457" s="2366"/>
      <c r="U457" s="306"/>
      <c r="V457" s="757"/>
      <c r="W457" s="1263"/>
      <c r="X457" s="757"/>
      <c r="Y457" s="1263"/>
      <c r="Z457" s="2608"/>
      <c r="AA457" s="2113" t="s">
        <v>62</v>
      </c>
      <c r="AB457" s="2608"/>
      <c r="AC457" s="2113" t="s">
        <v>62</v>
      </c>
      <c r="AD457" s="2191" t="s">
        <v>62</v>
      </c>
      <c r="AE457" s="2332"/>
      <c r="AF457" s="2443">
        <v>1</v>
      </c>
      <c r="AG457" s="2369"/>
      <c r="AH457" s="2113" t="s">
        <v>62</v>
      </c>
      <c r="AI457" s="2332"/>
      <c r="AJ457" s="2443">
        <v>1</v>
      </c>
      <c r="AK457" s="2333" t="s">
        <v>28</v>
      </c>
      <c r="AL457" s="2113" t="s">
        <v>62</v>
      </c>
      <c r="AM457" s="2300"/>
      <c r="AN457" s="2443">
        <v>1</v>
      </c>
      <c r="AO457" s="2363"/>
      <c r="AP457" s="2364" t="s">
        <v>62</v>
      </c>
      <c r="AQ457" s="689" t="s">
        <v>253</v>
      </c>
      <c r="AR457" s="2443" t="s">
        <v>92</v>
      </c>
      <c r="AS457" s="2582" t="s">
        <v>541</v>
      </c>
      <c r="AT457" s="757"/>
      <c r="AU457" s="1263"/>
      <c r="AV457" s="757"/>
      <c r="AW457" s="1263">
        <v>4631.64</v>
      </c>
      <c r="AX457" s="2608">
        <v>46023.38172453704</v>
      </c>
      <c r="AY457" s="2113" t="s">
        <v>62</v>
      </c>
      <c r="AZ457" s="2608">
        <v>46387.392118055555</v>
      </c>
      <c r="BA457" s="2113" t="s">
        <v>62</v>
      </c>
      <c r="BB457" s="1354"/>
      <c r="BC457" s="2259" t="s">
        <v>514</v>
      </c>
      <c r="BD457" s="1648"/>
      <c r="BE457" s="1630"/>
      <c r="BF457" s="1630" t="str">
        <f>IF(T457="","",T457)</f>
        <v/>
      </c>
      <c r="BG457" s="1630"/>
      <c r="BH457" s="1630"/>
      <c r="BI457" s="1641">
        <v>0</v>
      </c>
    </row>
    <row s="1856" customFormat="1" customHeight="1" ht="11.25">
      <c r="A458" s="1369"/>
      <c r="B458" s="1369"/>
      <c r="C458" s="1369"/>
      <c r="D458" s="1369"/>
      <c r="E458" s="2265" t="s">
        <v>112</v>
      </c>
      <c r="F458" s="2265"/>
      <c r="G458" s="2265"/>
      <c r="H458" s="2265"/>
      <c r="I458" s="2292"/>
      <c r="J458" s="2292"/>
      <c r="K458" s="2262"/>
      <c r="L458" s="1375"/>
      <c r="M458" s="1782"/>
      <c r="N458" s="1782"/>
      <c r="O458" s="1782"/>
      <c r="P458" s="2380"/>
      <c r="Q458" s="2380"/>
      <c r="R458" s="2353"/>
      <c r="S458" s="2348"/>
      <c r="T458" s="2367"/>
      <c r="U458" s="306"/>
      <c r="V458" s="2928"/>
      <c r="W458" s="2929"/>
      <c r="X458" s="2930"/>
      <c r="Y458" s="2931"/>
      <c r="Z458" s="2932"/>
      <c r="AA458" s="2933"/>
      <c r="AB458" s="2934"/>
      <c r="AC458" s="2935"/>
      <c r="AD458" s="2192"/>
      <c r="AE458" s="2332"/>
      <c r="AF458" s="2443"/>
      <c r="AG458" s="7379" t="s">
        <v>28</v>
      </c>
      <c r="AH458" s="2113"/>
      <c r="AI458" s="2332"/>
      <c r="AJ458" s="2443"/>
      <c r="AK458" s="2333"/>
      <c r="AL458" s="2113"/>
      <c r="AM458" s="2301"/>
      <c r="AN458" s="2443"/>
      <c r="AO458" s="7378" t="s">
        <v>28</v>
      </c>
      <c r="AP458" s="2365"/>
      <c r="AQ458" s="2936"/>
      <c r="AR458" s="2937"/>
      <c r="AS458" s="2938" t="s">
        <v>515</v>
      </c>
      <c r="AT458" s="2939"/>
      <c r="AU458" s="2940"/>
      <c r="AV458" s="2941"/>
      <c r="AW458" s="2942"/>
      <c r="AX458" s="2943"/>
      <c r="AY458" s="2944"/>
      <c r="AZ458" s="2945"/>
      <c r="BA458" s="2946"/>
      <c r="BB458" s="2947"/>
      <c r="BC458" s="2260"/>
      <c r="BD458" s="1648"/>
      <c r="BE458" s="1630"/>
      <c r="BF458" s="1630"/>
      <c r="BG458" s="1630"/>
      <c r="BH458" s="1630"/>
      <c r="BI458" s="1641">
        <v>0</v>
      </c>
    </row>
    <row s="1856" customFormat="1" customHeight="1" ht="11.25">
      <c r="A459" s="1369"/>
      <c r="B459" s="1369"/>
      <c r="C459" s="1369"/>
      <c r="D459" s="1369"/>
      <c r="E459" s="2265" t="s">
        <v>112</v>
      </c>
      <c r="F459" s="2265"/>
      <c r="G459" s="2265"/>
      <c r="H459" s="2265"/>
      <c r="I459" s="2292"/>
      <c r="J459" s="2292"/>
      <c r="K459" s="2262"/>
      <c r="L459" s="1375"/>
      <c r="M459" s="1782"/>
      <c r="N459" s="1782"/>
      <c r="O459" s="1782"/>
      <c r="P459" s="2380"/>
      <c r="Q459" s="2380"/>
      <c r="R459" s="2353"/>
      <c r="S459" s="2348"/>
      <c r="T459" s="2367"/>
      <c r="U459" s="306"/>
      <c r="V459" s="2948"/>
      <c r="W459" s="2949"/>
      <c r="X459" s="2950"/>
      <c r="Y459" s="2951"/>
      <c r="Z459" s="2952"/>
      <c r="AA459" s="2953"/>
      <c r="AB459" s="2954"/>
      <c r="AC459" s="2955"/>
      <c r="AD459" s="2192"/>
      <c r="AE459" s="2332"/>
      <c r="AF459" s="2443"/>
      <c r="AG459" s="7379" t="s">
        <v>28</v>
      </c>
      <c r="AH459" s="2113"/>
      <c r="AI459" s="2332"/>
      <c r="AJ459" s="2443"/>
      <c r="AK459" s="2333"/>
      <c r="AL459" s="2113"/>
      <c r="AM459" s="2956"/>
      <c r="AN459" s="2957"/>
      <c r="AO459" s="2958" t="s">
        <v>516</v>
      </c>
      <c r="AP459" s="2959"/>
      <c r="AQ459" s="2960"/>
      <c r="AR459" s="2961"/>
      <c r="AS459" s="2962"/>
      <c r="AT459" s="2963"/>
      <c r="AU459" s="2964"/>
      <c r="AV459" s="2965"/>
      <c r="AW459" s="2966"/>
      <c r="AX459" s="2967"/>
      <c r="AY459" s="2968"/>
      <c r="AZ459" s="2969"/>
      <c r="BA459" s="2970"/>
      <c r="BB459" s="2971"/>
      <c r="BC459" s="2260"/>
      <c r="BD459" s="1648"/>
      <c r="BE459" s="1630"/>
      <c r="BF459" s="1630"/>
      <c r="BG459" s="1630"/>
      <c r="BH459" s="1630"/>
      <c r="BI459" s="1641">
        <v>0</v>
      </c>
    </row>
    <row customHeight="1" ht="14.25">
      <c r="A460" s="1369"/>
      <c r="B460" s="1369"/>
      <c r="C460" s="1369"/>
      <c r="D460" s="1369"/>
      <c r="E460" s="2265"/>
      <c r="F460" s="2265"/>
      <c r="G460" s="2265"/>
      <c r="H460" s="2265"/>
      <c r="I460" s="2292"/>
      <c r="J460" s="2292"/>
      <c r="K460" s="2262" t="str">
        <f>S456&amp;".1"</f>
        <v>.1.1</v>
      </c>
      <c r="L460" s="1375"/>
      <c r="M460" s="1782"/>
      <c r="N460" s="1782"/>
      <c r="O460" s="1782"/>
      <c r="P460" s="2380"/>
      <c r="Q460" s="2380"/>
      <c r="R460" s="2353">
        <v>1</v>
      </c>
      <c r="S460" s="2347" t="str">
        <f>$K460</f>
        <v>.1.1</v>
      </c>
      <c r="T460" s="2366"/>
      <c r="U460" s="306"/>
      <c r="V460" s="757"/>
      <c r="W460" s="1263"/>
      <c r="X460" s="757"/>
      <c r="Y460" s="1263"/>
      <c r="Z460" s="2608"/>
      <c r="AA460" s="2113" t="s">
        <v>62</v>
      </c>
      <c r="AB460" s="2608"/>
      <c r="AC460" s="2113" t="s">
        <v>62</v>
      </c>
      <c r="AD460" s="2191" t="s">
        <v>62</v>
      </c>
      <c r="AE460" s="2332"/>
      <c r="AF460" s="2443">
        <v>1</v>
      </c>
      <c r="AG460" s="2369"/>
      <c r="AH460" s="2113" t="s">
        <v>62</v>
      </c>
      <c r="AI460" s="689" t="s">
        <v>253</v>
      </c>
      <c r="AJ460" s="2443" t="s">
        <v>112</v>
      </c>
      <c r="AK460" s="2333" t="s">
        <v>533</v>
      </c>
      <c r="AL460" s="2113" t="s">
        <v>19</v>
      </c>
      <c r="AM460" s="2300"/>
      <c r="AN460" s="2443">
        <v>1</v>
      </c>
      <c r="AO460" s="3340" t="s">
        <v>28</v>
      </c>
      <c r="AP460" s="2364" t="s">
        <v>62</v>
      </c>
      <c r="AQ460" s="317"/>
      <c r="AR460" s="2443">
        <v>1</v>
      </c>
      <c r="AS460" s="2582" t="s">
        <v>541</v>
      </c>
      <c r="AT460" s="757"/>
      <c r="AU460" s="1263"/>
      <c r="AV460" s="757"/>
      <c r="AW460" s="1263">
        <v>6663.21</v>
      </c>
      <c r="AX460" s="2608">
        <v>46023.381747685184</v>
      </c>
      <c r="AY460" s="2113" t="s">
        <v>62</v>
      </c>
      <c r="AZ460" s="2608">
        <v>46387.392222222225</v>
      </c>
      <c r="BA460" s="2113" t="s">
        <v>62</v>
      </c>
      <c r="BB460" s="1354"/>
      <c r="BC460" s="2259" t="s">
        <v>514</v>
      </c>
      <c r="BD460" s="1648"/>
      <c r="BE460" s="1630"/>
      <c r="BF460" s="1630" t="str">
        <f>IF(T460="","",T460)</f>
        <v/>
      </c>
      <c r="BG460" s="1630"/>
      <c r="BH460" s="1630"/>
      <c r="BI460" s="1641">
        <v>0</v>
      </c>
    </row>
    <row customHeight="1" ht="14.25">
      <c r="A461" s="1369"/>
      <c r="B461" s="1369"/>
      <c r="C461" s="1369"/>
      <c r="D461" s="1369"/>
      <c r="E461" s="2265"/>
      <c r="F461" s="2265"/>
      <c r="G461" s="2265"/>
      <c r="H461" s="2265"/>
      <c r="I461" s="2292"/>
      <c r="J461" s="2292"/>
      <c r="K461" s="2262" t="str">
        <f>S457&amp;".1"</f>
        <v>.1.1</v>
      </c>
      <c r="L461" s="1375"/>
      <c r="M461" s="1782"/>
      <c r="N461" s="1782"/>
      <c r="O461" s="1782"/>
      <c r="P461" s="2380"/>
      <c r="Q461" s="2380"/>
      <c r="R461" s="2353">
        <v>1</v>
      </c>
      <c r="S461" s="2347" t="str">
        <f>$K461</f>
        <v>.1.1</v>
      </c>
      <c r="T461" s="2366"/>
      <c r="U461" s="306"/>
      <c r="V461" s="757"/>
      <c r="W461" s="1263"/>
      <c r="X461" s="757"/>
      <c r="Y461" s="1263"/>
      <c r="Z461" s="2608"/>
      <c r="AA461" s="2113" t="s">
        <v>62</v>
      </c>
      <c r="AB461" s="2608"/>
      <c r="AC461" s="2113" t="s">
        <v>62</v>
      </c>
      <c r="AD461" s="2191" t="s">
        <v>62</v>
      </c>
      <c r="AE461" s="2332"/>
      <c r="AF461" s="2443">
        <v>1</v>
      </c>
      <c r="AG461" s="2369"/>
      <c r="AH461" s="2113" t="s">
        <v>62</v>
      </c>
      <c r="AI461" s="2332"/>
      <c r="AJ461" s="2443">
        <v>1</v>
      </c>
      <c r="AK461" s="2333" t="s">
        <v>28</v>
      </c>
      <c r="AL461" s="2113" t="s">
        <v>62</v>
      </c>
      <c r="AM461" s="2300"/>
      <c r="AN461" s="2443">
        <v>1</v>
      </c>
      <c r="AO461" s="3340" t="s">
        <v>28</v>
      </c>
      <c r="AP461" s="2364" t="s">
        <v>62</v>
      </c>
      <c r="AQ461" s="689" t="s">
        <v>253</v>
      </c>
      <c r="AR461" s="2443" t="s">
        <v>112</v>
      </c>
      <c r="AS461" s="2582" t="s">
        <v>541</v>
      </c>
      <c r="AT461" s="757"/>
      <c r="AU461" s="1263"/>
      <c r="AV461" s="757"/>
      <c r="AW461" s="1263">
        <v>8648.37</v>
      </c>
      <c r="AX461" s="2608">
        <v>46023.38178240741</v>
      </c>
      <c r="AY461" s="2113" t="s">
        <v>62</v>
      </c>
      <c r="AZ461" s="2608">
        <v>46387.39230324074</v>
      </c>
      <c r="BA461" s="2113" t="s">
        <v>62</v>
      </c>
      <c r="BB461" s="1354"/>
      <c r="BC461" s="2259" t="s">
        <v>514</v>
      </c>
      <c r="BD461" s="1648"/>
      <c r="BE461" s="1630"/>
      <c r="BF461" s="1630" t="str">
        <f>IF(T461="","",T461)</f>
        <v/>
      </c>
      <c r="BG461" s="1630"/>
      <c r="BH461" s="1630"/>
      <c r="BI461" s="1641">
        <v>0</v>
      </c>
    </row>
    <row customHeight="1" ht="14.25">
      <c r="A462" s="1369"/>
      <c r="B462" s="1369"/>
      <c r="C462" s="1369"/>
      <c r="D462" s="1369"/>
      <c r="E462" s="2265"/>
      <c r="F462" s="2265"/>
      <c r="G462" s="2265"/>
      <c r="H462" s="2265"/>
      <c r="I462" s="2292"/>
      <c r="J462" s="2292"/>
      <c r="K462" s="2262"/>
      <c r="L462" s="1375"/>
      <c r="M462" s="1782"/>
      <c r="N462" s="1782"/>
      <c r="O462" s="1782"/>
      <c r="P462" s="2380"/>
      <c r="Q462" s="2380"/>
      <c r="R462" s="2353"/>
      <c r="S462" s="2348"/>
      <c r="T462" s="2367"/>
      <c r="U462" s="306"/>
      <c r="V462" s="7380"/>
      <c r="W462" s="7381"/>
      <c r="X462" s="7380"/>
      <c r="Y462" s="7381"/>
      <c r="Z462" s="7380"/>
      <c r="AA462" s="7380"/>
      <c r="AB462" s="7380"/>
      <c r="AC462" s="7380"/>
      <c r="AD462" s="2192"/>
      <c r="AE462" s="2332"/>
      <c r="AF462" s="2443"/>
      <c r="AG462" s="2369"/>
      <c r="AH462" s="2113"/>
      <c r="AI462" s="2332"/>
      <c r="AJ462" s="2443">
        <v>1</v>
      </c>
      <c r="AK462" s="2333"/>
      <c r="AL462" s="2113"/>
      <c r="AM462" s="2301"/>
      <c r="AN462" s="2443"/>
      <c r="AO462" s="3340" t="s">
        <v>28</v>
      </c>
      <c r="AP462" s="2365"/>
      <c r="AQ462" s="7382"/>
      <c r="AR462" s="7383"/>
      <c r="AS462" s="7384" t="s">
        <v>515</v>
      </c>
      <c r="AT462" s="7380"/>
      <c r="AU462" s="7381"/>
      <c r="AV462" s="7380"/>
      <c r="AW462" s="7381"/>
      <c r="AX462" s="7380"/>
      <c r="AY462" s="7380"/>
      <c r="AZ462" s="7380"/>
      <c r="BA462" s="7380"/>
      <c r="BB462" s="7385"/>
      <c r="BC462" s="2260"/>
      <c r="BD462" s="1648"/>
      <c r="BE462" s="1630"/>
      <c r="BF462" s="1630"/>
      <c r="BG462" s="1630"/>
      <c r="BH462" s="1630"/>
      <c r="BI462" s="1641">
        <v>0</v>
      </c>
    </row>
    <row customHeight="1" ht="14.25">
      <c r="A463" s="1369"/>
      <c r="B463" s="1369"/>
      <c r="C463" s="1369"/>
      <c r="D463" s="1369"/>
      <c r="E463" s="2265"/>
      <c r="F463" s="2265"/>
      <c r="G463" s="2265"/>
      <c r="H463" s="2265"/>
      <c r="I463" s="2292"/>
      <c r="J463" s="2292"/>
      <c r="K463" s="2262"/>
      <c r="L463" s="1375"/>
      <c r="M463" s="1782"/>
      <c r="N463" s="1782"/>
      <c r="O463" s="1782"/>
      <c r="P463" s="2380"/>
      <c r="Q463" s="2380"/>
      <c r="R463" s="2353"/>
      <c r="S463" s="2348"/>
      <c r="T463" s="2367"/>
      <c r="U463" s="306"/>
      <c r="V463" s="7380"/>
      <c r="W463" s="7381"/>
      <c r="X463" s="7380"/>
      <c r="Y463" s="7381"/>
      <c r="Z463" s="7380"/>
      <c r="AA463" s="7380"/>
      <c r="AB463" s="7380"/>
      <c r="AC463" s="7380"/>
      <c r="AD463" s="2192"/>
      <c r="AE463" s="2332"/>
      <c r="AF463" s="2443"/>
      <c r="AG463" s="2369"/>
      <c r="AH463" s="2113"/>
      <c r="AI463" s="2332"/>
      <c r="AJ463" s="2443">
        <v>1</v>
      </c>
      <c r="AK463" s="2333"/>
      <c r="AL463" s="2113"/>
      <c r="AM463" s="7382"/>
      <c r="AN463" s="7386"/>
      <c r="AO463" s="7387" t="s">
        <v>516</v>
      </c>
      <c r="AP463" s="7383"/>
      <c r="AQ463" s="7383"/>
      <c r="AR463" s="7383"/>
      <c r="AS463" s="7380"/>
      <c r="AT463" s="7380"/>
      <c r="AU463" s="7381"/>
      <c r="AV463" s="7380"/>
      <c r="AW463" s="7381"/>
      <c r="AX463" s="7380"/>
      <c r="AY463" s="7380"/>
      <c r="AZ463" s="7380"/>
      <c r="BA463" s="7380"/>
      <c r="BB463" s="7385"/>
      <c r="BC463" s="2260"/>
      <c r="BD463" s="1648"/>
      <c r="BE463" s="1630"/>
      <c r="BF463" s="1630"/>
      <c r="BG463" s="1630"/>
      <c r="BH463" s="1630"/>
      <c r="BI463" s="1641">
        <v>0</v>
      </c>
    </row>
    <row customHeight="1" ht="14.25">
      <c r="A464" s="1369"/>
      <c r="B464" s="1369"/>
      <c r="C464" s="1369"/>
      <c r="D464" s="1369"/>
      <c r="E464" s="2265"/>
      <c r="F464" s="2265"/>
      <c r="G464" s="2265"/>
      <c r="H464" s="2265"/>
      <c r="I464" s="2292"/>
      <c r="J464" s="2292"/>
      <c r="K464" s="2262" t="str">
        <f>S459&amp;".1"</f>
        <v>.1</v>
      </c>
      <c r="L464" s="1375"/>
      <c r="M464" s="1782"/>
      <c r="N464" s="1782"/>
      <c r="O464" s="1782"/>
      <c r="P464" s="2380"/>
      <c r="Q464" s="2380"/>
      <c r="R464" s="2353">
        <v>1</v>
      </c>
      <c r="S464" s="2347" t="str">
        <f>$K464</f>
        <v>.1</v>
      </c>
      <c r="T464" s="2366"/>
      <c r="U464" s="306"/>
      <c r="V464" s="757"/>
      <c r="W464" s="1263"/>
      <c r="X464" s="757"/>
      <c r="Y464" s="1263"/>
      <c r="Z464" s="2608"/>
      <c r="AA464" s="2113" t="s">
        <v>62</v>
      </c>
      <c r="AB464" s="2608"/>
      <c r="AC464" s="2113" t="s">
        <v>62</v>
      </c>
      <c r="AD464" s="2191" t="s">
        <v>62</v>
      </c>
      <c r="AE464" s="2332"/>
      <c r="AF464" s="2443">
        <v>1</v>
      </c>
      <c r="AG464" s="2369"/>
      <c r="AH464" s="2113" t="s">
        <v>62</v>
      </c>
      <c r="AI464" s="689" t="s">
        <v>253</v>
      </c>
      <c r="AJ464" s="2443" t="s">
        <v>91</v>
      </c>
      <c r="AK464" s="2333" t="s">
        <v>534</v>
      </c>
      <c r="AL464" s="2113" t="s">
        <v>19</v>
      </c>
      <c r="AM464" s="2300"/>
      <c r="AN464" s="2443">
        <v>1</v>
      </c>
      <c r="AO464" s="3340" t="s">
        <v>28</v>
      </c>
      <c r="AP464" s="2364" t="s">
        <v>62</v>
      </c>
      <c r="AQ464" s="317"/>
      <c r="AR464" s="2443">
        <v>1</v>
      </c>
      <c r="AS464" s="2582" t="s">
        <v>541</v>
      </c>
      <c r="AT464" s="757"/>
      <c r="AU464" s="1263"/>
      <c r="AV464" s="757"/>
      <c r="AW464" s="1263">
        <v>8719.73</v>
      </c>
      <c r="AX464" s="2608">
        <v>46023.38182870371</v>
      </c>
      <c r="AY464" s="2113" t="s">
        <v>62</v>
      </c>
      <c r="AZ464" s="2608">
        <v>46387.392372685186</v>
      </c>
      <c r="BA464" s="2113" t="s">
        <v>62</v>
      </c>
      <c r="BB464" s="1354"/>
      <c r="BC464" s="2259" t="s">
        <v>514</v>
      </c>
      <c r="BD464" s="1648"/>
      <c r="BE464" s="1630"/>
      <c r="BF464" s="1630" t="str">
        <f>IF(T464="","",T464)</f>
        <v/>
      </c>
      <c r="BG464" s="1630"/>
      <c r="BH464" s="1630"/>
      <c r="BI464" s="1641">
        <v>0</v>
      </c>
    </row>
    <row customHeight="1" ht="14.25">
      <c r="A465" s="1369"/>
      <c r="B465" s="1369"/>
      <c r="C465" s="1369"/>
      <c r="D465" s="1369"/>
      <c r="E465" s="2265"/>
      <c r="F465" s="2265"/>
      <c r="G465" s="2265"/>
      <c r="H465" s="2265"/>
      <c r="I465" s="2292"/>
      <c r="J465" s="2292"/>
      <c r="K465" s="2262" t="str">
        <f>S461&amp;".1"</f>
        <v>.1.1.1</v>
      </c>
      <c r="L465" s="1375"/>
      <c r="M465" s="1782"/>
      <c r="N465" s="1782"/>
      <c r="O465" s="1782"/>
      <c r="P465" s="2380"/>
      <c r="Q465" s="2380"/>
      <c r="R465" s="2353">
        <v>1</v>
      </c>
      <c r="S465" s="2347" t="str">
        <f>$K465</f>
        <v>.1.1.1</v>
      </c>
      <c r="T465" s="2366"/>
      <c r="U465" s="306"/>
      <c r="V465" s="757"/>
      <c r="W465" s="1263"/>
      <c r="X465" s="757"/>
      <c r="Y465" s="1263"/>
      <c r="Z465" s="2608"/>
      <c r="AA465" s="2113" t="s">
        <v>62</v>
      </c>
      <c r="AB465" s="2608"/>
      <c r="AC465" s="2113" t="s">
        <v>62</v>
      </c>
      <c r="AD465" s="2191" t="s">
        <v>62</v>
      </c>
      <c r="AE465" s="2332"/>
      <c r="AF465" s="2443">
        <v>1</v>
      </c>
      <c r="AG465" s="2369"/>
      <c r="AH465" s="2113" t="s">
        <v>62</v>
      </c>
      <c r="AI465" s="2332"/>
      <c r="AJ465" s="2443">
        <v>1</v>
      </c>
      <c r="AK465" s="2333" t="s">
        <v>28</v>
      </c>
      <c r="AL465" s="2113" t="s">
        <v>62</v>
      </c>
      <c r="AM465" s="2300"/>
      <c r="AN465" s="2443">
        <v>1</v>
      </c>
      <c r="AO465" s="3340" t="s">
        <v>28</v>
      </c>
      <c r="AP465" s="2364" t="s">
        <v>62</v>
      </c>
      <c r="AQ465" s="689" t="s">
        <v>253</v>
      </c>
      <c r="AR465" s="2443" t="s">
        <v>112</v>
      </c>
      <c r="AS465" s="2582" t="s">
        <v>541</v>
      </c>
      <c r="AT465" s="757"/>
      <c r="AU465" s="1263"/>
      <c r="AV465" s="757"/>
      <c r="AW465" s="1263">
        <v>11498.94</v>
      </c>
      <c r="AX465" s="2608">
        <v>46023.38185185185</v>
      </c>
      <c r="AY465" s="2113" t="s">
        <v>62</v>
      </c>
      <c r="AZ465" s="2608">
        <v>46387.39244212963</v>
      </c>
      <c r="BA465" s="2113" t="s">
        <v>62</v>
      </c>
      <c r="BB465" s="1354"/>
      <c r="BC465" s="2259" t="s">
        <v>514</v>
      </c>
      <c r="BD465" s="1648"/>
      <c r="BE465" s="1630"/>
      <c r="BF465" s="1630" t="str">
        <f>IF(T465="","",T465)</f>
        <v/>
      </c>
      <c r="BG465" s="1630"/>
      <c r="BH465" s="1630"/>
      <c r="BI465" s="1641">
        <v>0</v>
      </c>
    </row>
    <row customHeight="1" ht="14.25">
      <c r="A466" s="1369"/>
      <c r="B466" s="1369"/>
      <c r="C466" s="1369"/>
      <c r="D466" s="1369"/>
      <c r="E466" s="2265"/>
      <c r="F466" s="2265"/>
      <c r="G466" s="2265"/>
      <c r="H466" s="2265"/>
      <c r="I466" s="2292"/>
      <c r="J466" s="2292"/>
      <c r="K466" s="2262" t="str">
        <f>S462&amp;".1"</f>
        <v>.1</v>
      </c>
      <c r="L466" s="1375"/>
      <c r="M466" s="1782"/>
      <c r="N466" s="1782"/>
      <c r="O466" s="1782"/>
      <c r="P466" s="2380"/>
      <c r="Q466" s="2380"/>
      <c r="R466" s="2353">
        <v>1</v>
      </c>
      <c r="S466" s="2347" t="str">
        <f>$K466</f>
        <v>.1</v>
      </c>
      <c r="T466" s="2366"/>
      <c r="U466" s="306"/>
      <c r="V466" s="757"/>
      <c r="W466" s="1263"/>
      <c r="X466" s="757"/>
      <c r="Y466" s="1263"/>
      <c r="Z466" s="2608"/>
      <c r="AA466" s="2113" t="s">
        <v>62</v>
      </c>
      <c r="AB466" s="2608"/>
      <c r="AC466" s="2113" t="s">
        <v>62</v>
      </c>
      <c r="AD466" s="2191" t="s">
        <v>62</v>
      </c>
      <c r="AE466" s="2332"/>
      <c r="AF466" s="2443">
        <v>1</v>
      </c>
      <c r="AG466" s="2369"/>
      <c r="AH466" s="2113" t="s">
        <v>62</v>
      </c>
      <c r="AI466" s="2332"/>
      <c r="AJ466" s="2443">
        <v>1</v>
      </c>
      <c r="AK466" s="2333" t="s">
        <v>28</v>
      </c>
      <c r="AL466" s="2113" t="s">
        <v>62</v>
      </c>
      <c r="AM466" s="2300"/>
      <c r="AN466" s="2443">
        <v>1</v>
      </c>
      <c r="AO466" s="3340" t="s">
        <v>28</v>
      </c>
      <c r="AP466" s="2364" t="s">
        <v>62</v>
      </c>
      <c r="AQ466" s="689" t="s">
        <v>253</v>
      </c>
      <c r="AR466" s="2443" t="s">
        <v>91</v>
      </c>
      <c r="AS466" s="2582" t="s">
        <v>541</v>
      </c>
      <c r="AT466" s="757"/>
      <c r="AU466" s="1263"/>
      <c r="AV466" s="757"/>
      <c r="AW466" s="1263">
        <v>10869.73</v>
      </c>
      <c r="AX466" s="2608">
        <v>46023.38190972222</v>
      </c>
      <c r="AY466" s="2113" t="s">
        <v>62</v>
      </c>
      <c r="AZ466" s="2608">
        <v>46387.39252314815</v>
      </c>
      <c r="BA466" s="2113" t="s">
        <v>62</v>
      </c>
      <c r="BB466" s="1354"/>
      <c r="BC466" s="2259" t="s">
        <v>514</v>
      </c>
      <c r="BD466" s="1648"/>
      <c r="BE466" s="1630"/>
      <c r="BF466" s="1630" t="str">
        <f>IF(T466="","",T466)</f>
        <v/>
      </c>
      <c r="BG466" s="1630"/>
      <c r="BH466" s="1630"/>
      <c r="BI466" s="1641">
        <v>0</v>
      </c>
    </row>
    <row customHeight="1" ht="14.25">
      <c r="A467" s="1369"/>
      <c r="B467" s="1369"/>
      <c r="C467" s="1369"/>
      <c r="D467" s="1369"/>
      <c r="E467" s="2265"/>
      <c r="F467" s="2265"/>
      <c r="G467" s="2265"/>
      <c r="H467" s="2265"/>
      <c r="I467" s="2292"/>
      <c r="J467" s="2292"/>
      <c r="K467" s="2262" t="str">
        <f>S463&amp;".1"</f>
        <v>.1</v>
      </c>
      <c r="L467" s="1375"/>
      <c r="M467" s="1782"/>
      <c r="N467" s="1782"/>
      <c r="O467" s="1782"/>
      <c r="P467" s="2380"/>
      <c r="Q467" s="2380"/>
      <c r="R467" s="2353">
        <v>1</v>
      </c>
      <c r="S467" s="2347" t="str">
        <f>$K467</f>
        <v>.1</v>
      </c>
      <c r="T467" s="2366"/>
      <c r="U467" s="306"/>
      <c r="V467" s="757"/>
      <c r="W467" s="1263"/>
      <c r="X467" s="757"/>
      <c r="Y467" s="1263"/>
      <c r="Z467" s="2608"/>
      <c r="AA467" s="2113" t="s">
        <v>62</v>
      </c>
      <c r="AB467" s="2608"/>
      <c r="AC467" s="2113" t="s">
        <v>62</v>
      </c>
      <c r="AD467" s="2191" t="s">
        <v>62</v>
      </c>
      <c r="AE467" s="2332"/>
      <c r="AF467" s="2443">
        <v>1</v>
      </c>
      <c r="AG467" s="2369"/>
      <c r="AH467" s="2113" t="s">
        <v>62</v>
      </c>
      <c r="AI467" s="2332"/>
      <c r="AJ467" s="2443">
        <v>1</v>
      </c>
      <c r="AK467" s="2333" t="s">
        <v>28</v>
      </c>
      <c r="AL467" s="2113" t="s">
        <v>62</v>
      </c>
      <c r="AM467" s="2300"/>
      <c r="AN467" s="2443">
        <v>1</v>
      </c>
      <c r="AO467" s="3340" t="s">
        <v>28</v>
      </c>
      <c r="AP467" s="2364" t="s">
        <v>62</v>
      </c>
      <c r="AQ467" s="689" t="s">
        <v>253</v>
      </c>
      <c r="AR467" s="2443" t="s">
        <v>92</v>
      </c>
      <c r="AS467" s="2582" t="s">
        <v>541</v>
      </c>
      <c r="AT467" s="757"/>
      <c r="AU467" s="1263"/>
      <c r="AV467" s="757"/>
      <c r="AW467" s="1263">
        <v>14479.12</v>
      </c>
      <c r="AX467" s="2608">
        <v>46023.38193287037</v>
      </c>
      <c r="AY467" s="2113" t="s">
        <v>62</v>
      </c>
      <c r="AZ467" s="2608">
        <v>46387.392592592594</v>
      </c>
      <c r="BA467" s="2113" t="s">
        <v>62</v>
      </c>
      <c r="BB467" s="1354"/>
      <c r="BC467" s="2259" t="s">
        <v>514</v>
      </c>
      <c r="BD467" s="1648"/>
      <c r="BE467" s="1630"/>
      <c r="BF467" s="1630" t="str">
        <f>IF(T467="","",T467)</f>
        <v/>
      </c>
      <c r="BG467" s="1630"/>
      <c r="BH467" s="1630"/>
      <c r="BI467" s="1641">
        <v>0</v>
      </c>
    </row>
    <row customHeight="1" ht="14.25">
      <c r="A468" s="1369"/>
      <c r="B468" s="1369"/>
      <c r="C468" s="1369"/>
      <c r="D468" s="1369"/>
      <c r="E468" s="2265"/>
      <c r="F468" s="2265"/>
      <c r="G468" s="2265"/>
      <c r="H468" s="2265"/>
      <c r="I468" s="2292"/>
      <c r="J468" s="2292"/>
      <c r="K468" s="2262"/>
      <c r="L468" s="1375"/>
      <c r="M468" s="1782"/>
      <c r="N468" s="1782"/>
      <c r="O468" s="1782"/>
      <c r="P468" s="2380"/>
      <c r="Q468" s="2380"/>
      <c r="R468" s="2353"/>
      <c r="S468" s="2348"/>
      <c r="T468" s="2367"/>
      <c r="U468" s="306"/>
      <c r="V468" s="7380"/>
      <c r="W468" s="7381"/>
      <c r="X468" s="7380"/>
      <c r="Y468" s="7381"/>
      <c r="Z468" s="7380"/>
      <c r="AA468" s="7380"/>
      <c r="AB468" s="7380"/>
      <c r="AC468" s="7380"/>
      <c r="AD468" s="2192"/>
      <c r="AE468" s="2332"/>
      <c r="AF468" s="2443"/>
      <c r="AG468" s="2369"/>
      <c r="AH468" s="2113"/>
      <c r="AI468" s="2332"/>
      <c r="AJ468" s="2443" t="s">
        <v>112</v>
      </c>
      <c r="AK468" s="2333"/>
      <c r="AL468" s="2113"/>
      <c r="AM468" s="2301"/>
      <c r="AN468" s="2443"/>
      <c r="AO468" s="3340" t="s">
        <v>28</v>
      </c>
      <c r="AP468" s="2365"/>
      <c r="AQ468" s="7382"/>
      <c r="AR468" s="7383"/>
      <c r="AS468" s="7388" t="s">
        <v>515</v>
      </c>
      <c r="AT468" s="7380"/>
      <c r="AU468" s="7381"/>
      <c r="AV468" s="7380"/>
      <c r="AW468" s="7381"/>
      <c r="AX468" s="7380"/>
      <c r="AY468" s="7380"/>
      <c r="AZ468" s="7380"/>
      <c r="BA468" s="7380"/>
      <c r="BB468" s="7385"/>
      <c r="BC468" s="2260"/>
      <c r="BD468" s="1648"/>
      <c r="BE468" s="1630"/>
      <c r="BF468" s="1630"/>
      <c r="BG468" s="1630"/>
      <c r="BH468" s="1630"/>
      <c r="BI468" s="1641">
        <v>0</v>
      </c>
    </row>
    <row customHeight="1" ht="14.25">
      <c r="A469" s="1369"/>
      <c r="B469" s="1369"/>
      <c r="C469" s="1369"/>
      <c r="D469" s="1369"/>
      <c r="E469" s="2265"/>
      <c r="F469" s="2265"/>
      <c r="G469" s="2265"/>
      <c r="H469" s="2265"/>
      <c r="I469" s="2292"/>
      <c r="J469" s="2292"/>
      <c r="K469" s="2262"/>
      <c r="L469" s="1375"/>
      <c r="M469" s="1782"/>
      <c r="N469" s="1782"/>
      <c r="O469" s="1782"/>
      <c r="P469" s="2380"/>
      <c r="Q469" s="2380"/>
      <c r="R469" s="2353"/>
      <c r="S469" s="2348"/>
      <c r="T469" s="2367"/>
      <c r="U469" s="306"/>
      <c r="V469" s="7380"/>
      <c r="W469" s="7381"/>
      <c r="X469" s="7380"/>
      <c r="Y469" s="7381"/>
      <c r="Z469" s="7380"/>
      <c r="AA469" s="7380"/>
      <c r="AB469" s="7380"/>
      <c r="AC469" s="7380"/>
      <c r="AD469" s="2192"/>
      <c r="AE469" s="2332"/>
      <c r="AF469" s="2443"/>
      <c r="AG469" s="2369"/>
      <c r="AH469" s="2113"/>
      <c r="AI469" s="2332"/>
      <c r="AJ469" s="2443" t="s">
        <v>112</v>
      </c>
      <c r="AK469" s="2333"/>
      <c r="AL469" s="2113"/>
      <c r="AM469" s="7382"/>
      <c r="AN469" s="7386"/>
      <c r="AO469" s="7389" t="s">
        <v>516</v>
      </c>
      <c r="AP469" s="7383"/>
      <c r="AQ469" s="7383"/>
      <c r="AR469" s="7383"/>
      <c r="AS469" s="7380"/>
      <c r="AT469" s="7380"/>
      <c r="AU469" s="7381"/>
      <c r="AV469" s="7380"/>
      <c r="AW469" s="7381"/>
      <c r="AX469" s="7380"/>
      <c r="AY469" s="7380"/>
      <c r="AZ469" s="7380"/>
      <c r="BA469" s="7380"/>
      <c r="BB469" s="7385"/>
      <c r="BC469" s="2260"/>
      <c r="BD469" s="1648"/>
      <c r="BE469" s="1630"/>
      <c r="BF469" s="1630"/>
      <c r="BG469" s="1630"/>
      <c r="BH469" s="1630"/>
      <c r="BI469" s="1641">
        <v>0</v>
      </c>
    </row>
    <row customHeight="1" ht="14.25">
      <c r="A470" s="1369"/>
      <c r="B470" s="1369"/>
      <c r="C470" s="1369"/>
      <c r="D470" s="1369"/>
      <c r="E470" s="2265"/>
      <c r="F470" s="2265"/>
      <c r="G470" s="2265"/>
      <c r="H470" s="2265"/>
      <c r="I470" s="2292"/>
      <c r="J470" s="2292"/>
      <c r="K470" s="2262" t="str">
        <f>S463&amp;".1"</f>
        <v>.1</v>
      </c>
      <c r="L470" s="1375"/>
      <c r="M470" s="1782"/>
      <c r="N470" s="1782"/>
      <c r="O470" s="1782"/>
      <c r="P470" s="2380"/>
      <c r="Q470" s="2380"/>
      <c r="R470" s="2353">
        <v>1</v>
      </c>
      <c r="S470" s="2347" t="str">
        <f>$K470</f>
        <v>.1</v>
      </c>
      <c r="T470" s="2366"/>
      <c r="U470" s="306"/>
      <c r="V470" s="757"/>
      <c r="W470" s="1263"/>
      <c r="X470" s="757"/>
      <c r="Y470" s="1263"/>
      <c r="Z470" s="2608"/>
      <c r="AA470" s="2113" t="s">
        <v>62</v>
      </c>
      <c r="AB470" s="2608"/>
      <c r="AC470" s="2113" t="s">
        <v>62</v>
      </c>
      <c r="AD470" s="2191" t="s">
        <v>62</v>
      </c>
      <c r="AE470" s="2332"/>
      <c r="AF470" s="2443">
        <v>1</v>
      </c>
      <c r="AG470" s="2369"/>
      <c r="AH470" s="2113" t="s">
        <v>62</v>
      </c>
      <c r="AI470" s="689" t="s">
        <v>253</v>
      </c>
      <c r="AJ470" s="2443" t="s">
        <v>92</v>
      </c>
      <c r="AK470" s="2333" t="s">
        <v>535</v>
      </c>
      <c r="AL470" s="2113" t="s">
        <v>19</v>
      </c>
      <c r="AM470" s="2300"/>
      <c r="AN470" s="2443">
        <v>1</v>
      </c>
      <c r="AO470" s="3340" t="s">
        <v>28</v>
      </c>
      <c r="AP470" s="2364" t="s">
        <v>62</v>
      </c>
      <c r="AQ470" s="317"/>
      <c r="AR470" s="2443">
        <v>1</v>
      </c>
      <c r="AS470" s="2582" t="s">
        <v>541</v>
      </c>
      <c r="AT470" s="757"/>
      <c r="AU470" s="1263"/>
      <c r="AV470" s="757"/>
      <c r="AW470" s="1263">
        <v>12526.49</v>
      </c>
      <c r="AX470" s="2608">
        <v>46023.38197916667</v>
      </c>
      <c r="AY470" s="2113" t="s">
        <v>62</v>
      </c>
      <c r="AZ470" s="2608">
        <v>46387.39267361111</v>
      </c>
      <c r="BA470" s="2113" t="s">
        <v>62</v>
      </c>
      <c r="BB470" s="1354"/>
      <c r="BC470" s="2259" t="s">
        <v>514</v>
      </c>
      <c r="BD470" s="1648"/>
      <c r="BE470" s="1630"/>
      <c r="BF470" s="1630" t="str">
        <f>IF(T470="","",T470)</f>
        <v/>
      </c>
      <c r="BG470" s="1630"/>
      <c r="BH470" s="1630"/>
      <c r="BI470" s="1641">
        <v>0</v>
      </c>
    </row>
    <row customHeight="1" ht="14.25">
      <c r="A471" s="1369"/>
      <c r="B471" s="1369"/>
      <c r="C471" s="1369"/>
      <c r="D471" s="1369"/>
      <c r="E471" s="2265"/>
      <c r="F471" s="2265"/>
      <c r="G471" s="2265"/>
      <c r="H471" s="2265"/>
      <c r="I471" s="2292"/>
      <c r="J471" s="2292"/>
      <c r="K471" s="2262" t="str">
        <f>S467&amp;".1"</f>
        <v>.1.1</v>
      </c>
      <c r="L471" s="1375"/>
      <c r="M471" s="1782"/>
      <c r="N471" s="1782"/>
      <c r="O471" s="1782"/>
      <c r="P471" s="2380"/>
      <c r="Q471" s="2380"/>
      <c r="R471" s="2353">
        <v>1</v>
      </c>
      <c r="S471" s="2347" t="str">
        <f>$K471</f>
        <v>.1.1</v>
      </c>
      <c r="T471" s="2366"/>
      <c r="U471" s="306"/>
      <c r="V471" s="757"/>
      <c r="W471" s="1263"/>
      <c r="X471" s="757"/>
      <c r="Y471" s="1263"/>
      <c r="Z471" s="2608"/>
      <c r="AA471" s="2113" t="s">
        <v>62</v>
      </c>
      <c r="AB471" s="2608"/>
      <c r="AC471" s="2113" t="s">
        <v>62</v>
      </c>
      <c r="AD471" s="2191" t="s">
        <v>62</v>
      </c>
      <c r="AE471" s="2332"/>
      <c r="AF471" s="2443">
        <v>1</v>
      </c>
      <c r="AG471" s="2369"/>
      <c r="AH471" s="2113" t="s">
        <v>62</v>
      </c>
      <c r="AI471" s="2332"/>
      <c r="AJ471" s="2443">
        <v>1</v>
      </c>
      <c r="AK471" s="2333" t="s">
        <v>28</v>
      </c>
      <c r="AL471" s="2113" t="s">
        <v>62</v>
      </c>
      <c r="AM471" s="2300"/>
      <c r="AN471" s="2443">
        <v>1</v>
      </c>
      <c r="AO471" s="3340" t="s">
        <v>28</v>
      </c>
      <c r="AP471" s="2364" t="s">
        <v>62</v>
      </c>
      <c r="AQ471" s="689" t="s">
        <v>253</v>
      </c>
      <c r="AR471" s="2443" t="s">
        <v>112</v>
      </c>
      <c r="AS471" s="2582" t="s">
        <v>541</v>
      </c>
      <c r="AT471" s="757"/>
      <c r="AU471" s="1263"/>
      <c r="AV471" s="757"/>
      <c r="AW471" s="1263">
        <v>16158.3</v>
      </c>
      <c r="AX471" s="2608">
        <v>46023.38202546296</v>
      </c>
      <c r="AY471" s="2113" t="s">
        <v>62</v>
      </c>
      <c r="AZ471" s="2608">
        <v>46387.3927662037</v>
      </c>
      <c r="BA471" s="2113" t="s">
        <v>62</v>
      </c>
      <c r="BB471" s="1354"/>
      <c r="BC471" s="2259" t="s">
        <v>514</v>
      </c>
      <c r="BD471" s="1648"/>
      <c r="BE471" s="1630"/>
      <c r="BF471" s="1630" t="str">
        <f>IF(T471="","",T471)</f>
        <v/>
      </c>
      <c r="BG471" s="1630"/>
      <c r="BH471" s="1630"/>
      <c r="BI471" s="1641">
        <v>0</v>
      </c>
    </row>
    <row customHeight="1" ht="14.25">
      <c r="A472" s="1369"/>
      <c r="B472" s="1369"/>
      <c r="C472" s="1369"/>
      <c r="D472" s="1369"/>
      <c r="E472" s="2265"/>
      <c r="F472" s="2265"/>
      <c r="G472" s="2265"/>
      <c r="H472" s="2265"/>
      <c r="I472" s="2292"/>
      <c r="J472" s="2292"/>
      <c r="K472" s="2262" t="str">
        <f>S468&amp;".1"</f>
        <v>.1</v>
      </c>
      <c r="L472" s="1375"/>
      <c r="M472" s="1782"/>
      <c r="N472" s="1782"/>
      <c r="O472" s="1782"/>
      <c r="P472" s="2380"/>
      <c r="Q472" s="2380"/>
      <c r="R472" s="2353">
        <v>1</v>
      </c>
      <c r="S472" s="2347" t="str">
        <f>$K472</f>
        <v>.1</v>
      </c>
      <c r="T472" s="2366"/>
      <c r="U472" s="306"/>
      <c r="V472" s="757"/>
      <c r="W472" s="1263"/>
      <c r="X472" s="757"/>
      <c r="Y472" s="1263"/>
      <c r="Z472" s="2608"/>
      <c r="AA472" s="2113" t="s">
        <v>62</v>
      </c>
      <c r="AB472" s="2608"/>
      <c r="AC472" s="2113" t="s">
        <v>62</v>
      </c>
      <c r="AD472" s="2191" t="s">
        <v>62</v>
      </c>
      <c r="AE472" s="2332"/>
      <c r="AF472" s="2443">
        <v>1</v>
      </c>
      <c r="AG472" s="2369"/>
      <c r="AH472" s="2113" t="s">
        <v>62</v>
      </c>
      <c r="AI472" s="2332"/>
      <c r="AJ472" s="2443">
        <v>1</v>
      </c>
      <c r="AK472" s="2333" t="s">
        <v>28</v>
      </c>
      <c r="AL472" s="2113" t="s">
        <v>62</v>
      </c>
      <c r="AM472" s="2300"/>
      <c r="AN472" s="2443">
        <v>1</v>
      </c>
      <c r="AO472" s="3340" t="s">
        <v>28</v>
      </c>
      <c r="AP472" s="2364" t="s">
        <v>62</v>
      </c>
      <c r="AQ472" s="689" t="s">
        <v>253</v>
      </c>
      <c r="AR472" s="2443" t="s">
        <v>91</v>
      </c>
      <c r="AS472" s="2582" t="s">
        <v>541</v>
      </c>
      <c r="AT472" s="757"/>
      <c r="AU472" s="1263"/>
      <c r="AV472" s="757"/>
      <c r="AW472" s="1263">
        <v>12823.87</v>
      </c>
      <c r="AX472" s="2608">
        <v>46023.382060185184</v>
      </c>
      <c r="AY472" s="2113" t="s">
        <v>62</v>
      </c>
      <c r="AZ472" s="2608">
        <v>46387.39283564815</v>
      </c>
      <c r="BA472" s="2113" t="s">
        <v>62</v>
      </c>
      <c r="BB472" s="1354"/>
      <c r="BC472" s="2259" t="s">
        <v>514</v>
      </c>
      <c r="BD472" s="1648"/>
      <c r="BE472" s="1630"/>
      <c r="BF472" s="1630" t="str">
        <f>IF(T472="","",T472)</f>
        <v/>
      </c>
      <c r="BG472" s="1630"/>
      <c r="BH472" s="1630"/>
      <c r="BI472" s="1641">
        <v>0</v>
      </c>
    </row>
    <row customHeight="1" ht="14.25">
      <c r="A473" s="1369"/>
      <c r="B473" s="1369"/>
      <c r="C473" s="1369"/>
      <c r="D473" s="1369"/>
      <c r="E473" s="2265"/>
      <c r="F473" s="2265"/>
      <c r="G473" s="2265"/>
      <c r="H473" s="2265"/>
      <c r="I473" s="2292"/>
      <c r="J473" s="2292"/>
      <c r="K473" s="2262" t="str">
        <f>S469&amp;".1"</f>
        <v>.1</v>
      </c>
      <c r="L473" s="1375"/>
      <c r="M473" s="1782"/>
      <c r="N473" s="1782"/>
      <c r="O473" s="1782"/>
      <c r="P473" s="2380"/>
      <c r="Q473" s="2380"/>
      <c r="R473" s="2353">
        <v>1</v>
      </c>
      <c r="S473" s="2347" t="str">
        <f>$K473</f>
        <v>.1</v>
      </c>
      <c r="T473" s="2366"/>
      <c r="U473" s="306"/>
      <c r="V473" s="757"/>
      <c r="W473" s="1263"/>
      <c r="X473" s="757"/>
      <c r="Y473" s="1263"/>
      <c r="Z473" s="2608"/>
      <c r="AA473" s="2113" t="s">
        <v>62</v>
      </c>
      <c r="AB473" s="2608"/>
      <c r="AC473" s="2113" t="s">
        <v>62</v>
      </c>
      <c r="AD473" s="2191" t="s">
        <v>62</v>
      </c>
      <c r="AE473" s="2332"/>
      <c r="AF473" s="2443">
        <v>1</v>
      </c>
      <c r="AG473" s="2369"/>
      <c r="AH473" s="2113" t="s">
        <v>62</v>
      </c>
      <c r="AI473" s="2332"/>
      <c r="AJ473" s="2443">
        <v>1</v>
      </c>
      <c r="AK473" s="2333" t="s">
        <v>28</v>
      </c>
      <c r="AL473" s="2113" t="s">
        <v>62</v>
      </c>
      <c r="AM473" s="2300"/>
      <c r="AN473" s="2443">
        <v>1</v>
      </c>
      <c r="AO473" s="3340" t="s">
        <v>28</v>
      </c>
      <c r="AP473" s="2364" t="s">
        <v>62</v>
      </c>
      <c r="AQ473" s="689" t="s">
        <v>253</v>
      </c>
      <c r="AR473" s="2443" t="s">
        <v>92</v>
      </c>
      <c r="AS473" s="2582" t="s">
        <v>541</v>
      </c>
      <c r="AT473" s="757"/>
      <c r="AU473" s="1263"/>
      <c r="AV473" s="757"/>
      <c r="AW473" s="1263">
        <v>16480.93</v>
      </c>
      <c r="AX473" s="2608">
        <v>46023.38208333333</v>
      </c>
      <c r="AY473" s="2113" t="s">
        <v>62</v>
      </c>
      <c r="AZ473" s="2608">
        <v>46387.392905092594</v>
      </c>
      <c r="BA473" s="2113" t="s">
        <v>62</v>
      </c>
      <c r="BB473" s="1354"/>
      <c r="BC473" s="2259" t="s">
        <v>514</v>
      </c>
      <c r="BD473" s="1648"/>
      <c r="BE473" s="1630"/>
      <c r="BF473" s="1630" t="str">
        <f>IF(T473="","",T473)</f>
        <v/>
      </c>
      <c r="BG473" s="1630"/>
      <c r="BH473" s="1630"/>
      <c r="BI473" s="1641">
        <v>0</v>
      </c>
    </row>
    <row customHeight="1" ht="14.25">
      <c r="A474" s="1369"/>
      <c r="B474" s="1369"/>
      <c r="C474" s="1369"/>
      <c r="D474" s="1369"/>
      <c r="E474" s="2265"/>
      <c r="F474" s="2265"/>
      <c r="G474" s="2265"/>
      <c r="H474" s="2265"/>
      <c r="I474" s="2292"/>
      <c r="J474" s="2292"/>
      <c r="K474" s="2262"/>
      <c r="L474" s="1375"/>
      <c r="M474" s="1782"/>
      <c r="N474" s="1782"/>
      <c r="O474" s="1782"/>
      <c r="P474" s="2380"/>
      <c r="Q474" s="2380"/>
      <c r="R474" s="2353"/>
      <c r="S474" s="2348"/>
      <c r="T474" s="2367"/>
      <c r="U474" s="306"/>
      <c r="V474" s="7380"/>
      <c r="W474" s="7381"/>
      <c r="X474" s="7380"/>
      <c r="Y474" s="7381"/>
      <c r="Z474" s="7380"/>
      <c r="AA474" s="7380"/>
      <c r="AB474" s="7380"/>
      <c r="AC474" s="7380"/>
      <c r="AD474" s="2192"/>
      <c r="AE474" s="2332"/>
      <c r="AF474" s="2443"/>
      <c r="AG474" s="2369"/>
      <c r="AH474" s="2113"/>
      <c r="AI474" s="2332"/>
      <c r="AJ474" s="2443" t="s">
        <v>91</v>
      </c>
      <c r="AK474" s="2333"/>
      <c r="AL474" s="2113"/>
      <c r="AM474" s="2301"/>
      <c r="AN474" s="2443"/>
      <c r="AO474" s="3340" t="s">
        <v>28</v>
      </c>
      <c r="AP474" s="2365"/>
      <c r="AQ474" s="7382"/>
      <c r="AR474" s="7383"/>
      <c r="AS474" s="7390" t="s">
        <v>515</v>
      </c>
      <c r="AT474" s="7380"/>
      <c r="AU474" s="7381"/>
      <c r="AV474" s="7380"/>
      <c r="AW474" s="7381"/>
      <c r="AX474" s="7380"/>
      <c r="AY474" s="7380"/>
      <c r="AZ474" s="7380"/>
      <c r="BA474" s="7380"/>
      <c r="BB474" s="7385"/>
      <c r="BC474" s="2260"/>
      <c r="BD474" s="1648"/>
      <c r="BE474" s="1630"/>
      <c r="BF474" s="1630"/>
      <c r="BG474" s="1630"/>
      <c r="BH474" s="1630"/>
      <c r="BI474" s="1641">
        <v>0</v>
      </c>
    </row>
    <row customHeight="1" ht="14.25">
      <c r="A475" s="1369"/>
      <c r="B475" s="1369"/>
      <c r="C475" s="1369"/>
      <c r="D475" s="1369"/>
      <c r="E475" s="2265"/>
      <c r="F475" s="2265"/>
      <c r="G475" s="2265"/>
      <c r="H475" s="2265"/>
      <c r="I475" s="2292"/>
      <c r="J475" s="2292"/>
      <c r="K475" s="2262"/>
      <c r="L475" s="1375"/>
      <c r="M475" s="1782"/>
      <c r="N475" s="1782"/>
      <c r="O475" s="1782"/>
      <c r="P475" s="2380"/>
      <c r="Q475" s="2380"/>
      <c r="R475" s="2353"/>
      <c r="S475" s="2348"/>
      <c r="T475" s="2367"/>
      <c r="U475" s="306"/>
      <c r="V475" s="7380"/>
      <c r="W475" s="7381"/>
      <c r="X475" s="7380"/>
      <c r="Y475" s="7381"/>
      <c r="Z475" s="7380"/>
      <c r="AA475" s="7380"/>
      <c r="AB475" s="7380"/>
      <c r="AC475" s="7380"/>
      <c r="AD475" s="2192"/>
      <c r="AE475" s="2332"/>
      <c r="AF475" s="2443"/>
      <c r="AG475" s="2369"/>
      <c r="AH475" s="2113"/>
      <c r="AI475" s="2332"/>
      <c r="AJ475" s="2443" t="s">
        <v>91</v>
      </c>
      <c r="AK475" s="2333"/>
      <c r="AL475" s="2113"/>
      <c r="AM475" s="7382"/>
      <c r="AN475" s="7386"/>
      <c r="AO475" s="7391" t="s">
        <v>516</v>
      </c>
      <c r="AP475" s="7383"/>
      <c r="AQ475" s="7383"/>
      <c r="AR475" s="7383"/>
      <c r="AS475" s="7380"/>
      <c r="AT475" s="7380"/>
      <c r="AU475" s="7381"/>
      <c r="AV475" s="7380"/>
      <c r="AW475" s="7381"/>
      <c r="AX475" s="7380"/>
      <c r="AY475" s="7380"/>
      <c r="AZ475" s="7380"/>
      <c r="BA475" s="7380"/>
      <c r="BB475" s="7385"/>
      <c r="BC475" s="2260"/>
      <c r="BD475" s="1648"/>
      <c r="BE475" s="1630"/>
      <c r="BF475" s="1630"/>
      <c r="BG475" s="1630"/>
      <c r="BH475" s="1630"/>
      <c r="BI475" s="1641">
        <v>0</v>
      </c>
    </row>
    <row customHeight="1" ht="14.25">
      <c r="A476" s="1369"/>
      <c r="B476" s="1369"/>
      <c r="C476" s="1369"/>
      <c r="D476" s="1369"/>
      <c r="E476" s="2265"/>
      <c r="F476" s="2265"/>
      <c r="G476" s="2265"/>
      <c r="H476" s="2265"/>
      <c r="I476" s="2292"/>
      <c r="J476" s="2292"/>
      <c r="K476" s="2262" t="str">
        <f>S469&amp;".1"</f>
        <v>.1</v>
      </c>
      <c r="L476" s="1375"/>
      <c r="M476" s="1782"/>
      <c r="N476" s="1782"/>
      <c r="O476" s="1782"/>
      <c r="P476" s="2380"/>
      <c r="Q476" s="2380"/>
      <c r="R476" s="2353">
        <v>1</v>
      </c>
      <c r="S476" s="2347" t="str">
        <f>$K476</f>
        <v>.1</v>
      </c>
      <c r="T476" s="2366"/>
      <c r="U476" s="306"/>
      <c r="V476" s="757"/>
      <c r="W476" s="1263"/>
      <c r="X476" s="757"/>
      <c r="Y476" s="1263"/>
      <c r="Z476" s="2608"/>
      <c r="AA476" s="2113" t="s">
        <v>62</v>
      </c>
      <c r="AB476" s="2608"/>
      <c r="AC476" s="2113" t="s">
        <v>62</v>
      </c>
      <c r="AD476" s="2191" t="s">
        <v>62</v>
      </c>
      <c r="AE476" s="2332"/>
      <c r="AF476" s="2443">
        <v>1</v>
      </c>
      <c r="AG476" s="2369"/>
      <c r="AH476" s="2113" t="s">
        <v>62</v>
      </c>
      <c r="AI476" s="689" t="s">
        <v>253</v>
      </c>
      <c r="AJ476" s="2443" t="s">
        <v>113</v>
      </c>
      <c r="AK476" s="2333" t="s">
        <v>536</v>
      </c>
      <c r="AL476" s="2113" t="s">
        <v>19</v>
      </c>
      <c r="AM476" s="2300"/>
      <c r="AN476" s="2443">
        <v>1</v>
      </c>
      <c r="AO476" s="3340" t="s">
        <v>28</v>
      </c>
      <c r="AP476" s="2364" t="s">
        <v>62</v>
      </c>
      <c r="AQ476" s="317"/>
      <c r="AR476" s="2443">
        <v>1</v>
      </c>
      <c r="AS476" s="2582" t="s">
        <v>541</v>
      </c>
      <c r="AT476" s="757"/>
      <c r="AU476" s="1263"/>
      <c r="AV476" s="757"/>
      <c r="AW476" s="1263">
        <v>16203.04</v>
      </c>
      <c r="AX476" s="2608">
        <v>46023.38212962963</v>
      </c>
      <c r="AY476" s="2113" t="s">
        <v>62</v>
      </c>
      <c r="AZ476" s="2608">
        <v>46387.39297453704</v>
      </c>
      <c r="BA476" s="2113" t="s">
        <v>62</v>
      </c>
      <c r="BB476" s="1354"/>
      <c r="BC476" s="2259" t="s">
        <v>514</v>
      </c>
      <c r="BD476" s="1648"/>
      <c r="BE476" s="1630"/>
      <c r="BF476" s="1630" t="str">
        <f>IF(T476="","",T476)</f>
        <v/>
      </c>
      <c r="BG476" s="1630"/>
      <c r="BH476" s="1630"/>
      <c r="BI476" s="1641">
        <v>0</v>
      </c>
    </row>
    <row customHeight="1" ht="14.25">
      <c r="A477" s="1369"/>
      <c r="B477" s="1369"/>
      <c r="C477" s="1369"/>
      <c r="D477" s="1369"/>
      <c r="E477" s="2265"/>
      <c r="F477" s="2265"/>
      <c r="G477" s="2265"/>
      <c r="H477" s="2265"/>
      <c r="I477" s="2292"/>
      <c r="J477" s="2292"/>
      <c r="K477" s="2262" t="str">
        <f>S473&amp;".1"</f>
        <v>.1.1</v>
      </c>
      <c r="L477" s="1375"/>
      <c r="M477" s="1782"/>
      <c r="N477" s="1782"/>
      <c r="O477" s="1782"/>
      <c r="P477" s="2380"/>
      <c r="Q477" s="2380"/>
      <c r="R477" s="2353">
        <v>1</v>
      </c>
      <c r="S477" s="2347" t="str">
        <f>$K477</f>
        <v>.1.1</v>
      </c>
      <c r="T477" s="2366"/>
      <c r="U477" s="306"/>
      <c r="V477" s="757"/>
      <c r="W477" s="1263"/>
      <c r="X477" s="757"/>
      <c r="Y477" s="1263"/>
      <c r="Z477" s="2608"/>
      <c r="AA477" s="2113" t="s">
        <v>62</v>
      </c>
      <c r="AB477" s="2608"/>
      <c r="AC477" s="2113" t="s">
        <v>62</v>
      </c>
      <c r="AD477" s="2191" t="s">
        <v>62</v>
      </c>
      <c r="AE477" s="2332"/>
      <c r="AF477" s="2443">
        <v>1</v>
      </c>
      <c r="AG477" s="2369"/>
      <c r="AH477" s="2113" t="s">
        <v>62</v>
      </c>
      <c r="AI477" s="2332"/>
      <c r="AJ477" s="2443">
        <v>1</v>
      </c>
      <c r="AK477" s="2333" t="s">
        <v>28</v>
      </c>
      <c r="AL477" s="2113" t="s">
        <v>62</v>
      </c>
      <c r="AM477" s="2300"/>
      <c r="AN477" s="2443">
        <v>1</v>
      </c>
      <c r="AO477" s="3340" t="s">
        <v>28</v>
      </c>
      <c r="AP477" s="2364" t="s">
        <v>62</v>
      </c>
      <c r="AQ477" s="689" t="s">
        <v>253</v>
      </c>
      <c r="AR477" s="2443" t="s">
        <v>112</v>
      </c>
      <c r="AS477" s="2582" t="s">
        <v>541</v>
      </c>
      <c r="AT477" s="757"/>
      <c r="AU477" s="1263"/>
      <c r="AV477" s="757"/>
      <c r="AW477" s="1263">
        <v>19911.93</v>
      </c>
      <c r="AX477" s="2608">
        <v>46023.38216435185</v>
      </c>
      <c r="AY477" s="2113" t="s">
        <v>62</v>
      </c>
      <c r="AZ477" s="2608">
        <v>46387.39304398148</v>
      </c>
      <c r="BA477" s="2113" t="s">
        <v>62</v>
      </c>
      <c r="BB477" s="1354"/>
      <c r="BC477" s="2259" t="s">
        <v>514</v>
      </c>
      <c r="BD477" s="1648"/>
      <c r="BE477" s="1630"/>
      <c r="BF477" s="1630" t="str">
        <f>IF(T477="","",T477)</f>
        <v/>
      </c>
      <c r="BG477" s="1630"/>
      <c r="BH477" s="1630"/>
      <c r="BI477" s="1641">
        <v>0</v>
      </c>
    </row>
    <row customHeight="1" ht="14.25">
      <c r="A478" s="1369"/>
      <c r="B478" s="1369"/>
      <c r="C478" s="1369"/>
      <c r="D478" s="1369"/>
      <c r="E478" s="2265"/>
      <c r="F478" s="2265"/>
      <c r="G478" s="2265"/>
      <c r="H478" s="2265"/>
      <c r="I478" s="2292"/>
      <c r="J478" s="2292"/>
      <c r="K478" s="2262"/>
      <c r="L478" s="1375"/>
      <c r="M478" s="1782"/>
      <c r="N478" s="1782"/>
      <c r="O478" s="1782"/>
      <c r="P478" s="2380"/>
      <c r="Q478" s="2380"/>
      <c r="R478" s="2353"/>
      <c r="S478" s="2348"/>
      <c r="T478" s="2367"/>
      <c r="U478" s="306"/>
      <c r="V478" s="7380"/>
      <c r="W478" s="7381"/>
      <c r="X478" s="7380"/>
      <c r="Y478" s="7381"/>
      <c r="Z478" s="7380"/>
      <c r="AA478" s="7380"/>
      <c r="AB478" s="7380"/>
      <c r="AC478" s="7380"/>
      <c r="AD478" s="2192"/>
      <c r="AE478" s="2332"/>
      <c r="AF478" s="2443"/>
      <c r="AG478" s="2369"/>
      <c r="AH478" s="2113"/>
      <c r="AI478" s="2332"/>
      <c r="AJ478" s="2443" t="s">
        <v>92</v>
      </c>
      <c r="AK478" s="2333"/>
      <c r="AL478" s="2113"/>
      <c r="AM478" s="2301"/>
      <c r="AN478" s="2443"/>
      <c r="AO478" s="3340" t="s">
        <v>28</v>
      </c>
      <c r="AP478" s="2365"/>
      <c r="AQ478" s="7382"/>
      <c r="AR478" s="7383"/>
      <c r="AS478" s="7392" t="s">
        <v>515</v>
      </c>
      <c r="AT478" s="7380"/>
      <c r="AU478" s="7381"/>
      <c r="AV478" s="7380"/>
      <c r="AW478" s="7381"/>
      <c r="AX478" s="7380"/>
      <c r="AY478" s="7380"/>
      <c r="AZ478" s="7380"/>
      <c r="BA478" s="7380"/>
      <c r="BB478" s="7385"/>
      <c r="BC478" s="2260"/>
      <c r="BD478" s="1648"/>
      <c r="BE478" s="1630"/>
      <c r="BF478" s="1630"/>
      <c r="BG478" s="1630"/>
      <c r="BH478" s="1630"/>
      <c r="BI478" s="1641">
        <v>0</v>
      </c>
    </row>
    <row customHeight="1" ht="14.25">
      <c r="A479" s="1369"/>
      <c r="B479" s="1369"/>
      <c r="C479" s="1369"/>
      <c r="D479" s="1369"/>
      <c r="E479" s="2265"/>
      <c r="F479" s="2265"/>
      <c r="G479" s="2265"/>
      <c r="H479" s="2265"/>
      <c r="I479" s="2292"/>
      <c r="J479" s="2292"/>
      <c r="K479" s="2262"/>
      <c r="L479" s="1375"/>
      <c r="M479" s="1782"/>
      <c r="N479" s="1782"/>
      <c r="O479" s="1782"/>
      <c r="P479" s="2380"/>
      <c r="Q479" s="2380"/>
      <c r="R479" s="2353"/>
      <c r="S479" s="2348"/>
      <c r="T479" s="2367"/>
      <c r="U479" s="306"/>
      <c r="V479" s="7380"/>
      <c r="W479" s="7381"/>
      <c r="X479" s="7380"/>
      <c r="Y479" s="7381"/>
      <c r="Z479" s="7380"/>
      <c r="AA479" s="7380"/>
      <c r="AB479" s="7380"/>
      <c r="AC479" s="7380"/>
      <c r="AD479" s="2192"/>
      <c r="AE479" s="2332"/>
      <c r="AF479" s="2443"/>
      <c r="AG479" s="2369"/>
      <c r="AH479" s="2113"/>
      <c r="AI479" s="2332"/>
      <c r="AJ479" s="2443" t="s">
        <v>92</v>
      </c>
      <c r="AK479" s="2333"/>
      <c r="AL479" s="2113"/>
      <c r="AM479" s="7382"/>
      <c r="AN479" s="7386"/>
      <c r="AO479" s="7393" t="s">
        <v>516</v>
      </c>
      <c r="AP479" s="7383"/>
      <c r="AQ479" s="7383"/>
      <c r="AR479" s="7383"/>
      <c r="AS479" s="7380"/>
      <c r="AT479" s="7380"/>
      <c r="AU479" s="7381"/>
      <c r="AV479" s="7380"/>
      <c r="AW479" s="7381"/>
      <c r="AX479" s="7380"/>
      <c r="AY479" s="7380"/>
      <c r="AZ479" s="7380"/>
      <c r="BA479" s="7380"/>
      <c r="BB479" s="7385"/>
      <c r="BC479" s="2260"/>
      <c r="BD479" s="1648"/>
      <c r="BE479" s="1630"/>
      <c r="BF479" s="1630"/>
      <c r="BG479" s="1630"/>
      <c r="BH479" s="1630"/>
      <c r="BI479" s="1641">
        <v>0</v>
      </c>
    </row>
    <row customHeight="1" ht="14.25">
      <c r="A480" s="1369"/>
      <c r="B480" s="1369"/>
      <c r="C480" s="1369"/>
      <c r="D480" s="1369"/>
      <c r="E480" s="2265"/>
      <c r="F480" s="2265"/>
      <c r="G480" s="2265"/>
      <c r="H480" s="2265"/>
      <c r="I480" s="2292"/>
      <c r="J480" s="2292"/>
      <c r="K480" s="2262" t="str">
        <f>S475&amp;".1"</f>
        <v>.1</v>
      </c>
      <c r="L480" s="1375"/>
      <c r="M480" s="1782"/>
      <c r="N480" s="1782"/>
      <c r="O480" s="1782"/>
      <c r="P480" s="2380"/>
      <c r="Q480" s="2380"/>
      <c r="R480" s="2353">
        <v>1</v>
      </c>
      <c r="S480" s="2347" t="str">
        <f>$K480</f>
        <v>.1</v>
      </c>
      <c r="T480" s="2366"/>
      <c r="U480" s="306"/>
      <c r="V480" s="757"/>
      <c r="W480" s="1263"/>
      <c r="X480" s="757"/>
      <c r="Y480" s="1263"/>
      <c r="Z480" s="2608"/>
      <c r="AA480" s="2113" t="s">
        <v>62</v>
      </c>
      <c r="AB480" s="2608"/>
      <c r="AC480" s="2113" t="s">
        <v>62</v>
      </c>
      <c r="AD480" s="2191" t="s">
        <v>62</v>
      </c>
      <c r="AE480" s="2332"/>
      <c r="AF480" s="2443">
        <v>1</v>
      </c>
      <c r="AG480" s="2369"/>
      <c r="AH480" s="2113" t="s">
        <v>62</v>
      </c>
      <c r="AI480" s="689" t="s">
        <v>253</v>
      </c>
      <c r="AJ480" s="2443" t="s">
        <v>93</v>
      </c>
      <c r="AK480" s="2333" t="s">
        <v>537</v>
      </c>
      <c r="AL480" s="2113" t="s">
        <v>19</v>
      </c>
      <c r="AM480" s="2300"/>
      <c r="AN480" s="2443">
        <v>1</v>
      </c>
      <c r="AO480" s="3340" t="s">
        <v>28</v>
      </c>
      <c r="AP480" s="2364" t="s">
        <v>62</v>
      </c>
      <c r="AQ480" s="317"/>
      <c r="AR480" s="2443">
        <v>1</v>
      </c>
      <c r="AS480" s="2582" t="s">
        <v>541</v>
      </c>
      <c r="AT480" s="757"/>
      <c r="AU480" s="1263"/>
      <c r="AV480" s="757"/>
      <c r="AW480" s="1263">
        <v>18822.82</v>
      </c>
      <c r="AX480" s="2608">
        <v>46023.383310185185</v>
      </c>
      <c r="AY480" s="2113" t="s">
        <v>62</v>
      </c>
      <c r="AZ480" s="2608">
        <v>46387.393171296295</v>
      </c>
      <c r="BA480" s="2113" t="s">
        <v>62</v>
      </c>
      <c r="BB480" s="1354"/>
      <c r="BC480" s="2259" t="s">
        <v>514</v>
      </c>
      <c r="BD480" s="1648"/>
      <c r="BE480" s="1630"/>
      <c r="BF480" s="1630" t="str">
        <f>IF(T480="","",T480)</f>
        <v/>
      </c>
      <c r="BG480" s="1630"/>
      <c r="BH480" s="1630"/>
      <c r="BI480" s="1641">
        <v>0</v>
      </c>
    </row>
    <row customHeight="1" ht="14.25">
      <c r="A481" s="1369"/>
      <c r="B481" s="1369"/>
      <c r="C481" s="1369"/>
      <c r="D481" s="1369"/>
      <c r="E481" s="2265"/>
      <c r="F481" s="2265"/>
      <c r="G481" s="2265"/>
      <c r="H481" s="2265"/>
      <c r="I481" s="2292"/>
      <c r="J481" s="2292"/>
      <c r="K481" s="2262" t="str">
        <f>S477&amp;".1"</f>
        <v>.1.1.1</v>
      </c>
      <c r="L481" s="1375"/>
      <c r="M481" s="1782"/>
      <c r="N481" s="1782"/>
      <c r="O481" s="1782"/>
      <c r="P481" s="2380"/>
      <c r="Q481" s="2380"/>
      <c r="R481" s="2353">
        <v>1</v>
      </c>
      <c r="S481" s="2347" t="str">
        <f>$K481</f>
        <v>.1.1.1</v>
      </c>
      <c r="T481" s="2366"/>
      <c r="U481" s="306"/>
      <c r="V481" s="757"/>
      <c r="W481" s="1263"/>
      <c r="X481" s="757"/>
      <c r="Y481" s="1263"/>
      <c r="Z481" s="2608"/>
      <c r="AA481" s="2113" t="s">
        <v>62</v>
      </c>
      <c r="AB481" s="2608"/>
      <c r="AC481" s="2113" t="s">
        <v>62</v>
      </c>
      <c r="AD481" s="2191" t="s">
        <v>62</v>
      </c>
      <c r="AE481" s="2332"/>
      <c r="AF481" s="2443">
        <v>1</v>
      </c>
      <c r="AG481" s="2369"/>
      <c r="AH481" s="2113" t="s">
        <v>62</v>
      </c>
      <c r="AI481" s="2332"/>
      <c r="AJ481" s="2443">
        <v>1</v>
      </c>
      <c r="AK481" s="2333" t="s">
        <v>28</v>
      </c>
      <c r="AL481" s="2113" t="s">
        <v>62</v>
      </c>
      <c r="AM481" s="2300"/>
      <c r="AN481" s="2443">
        <v>1</v>
      </c>
      <c r="AO481" s="3340" t="s">
        <v>28</v>
      </c>
      <c r="AP481" s="2364" t="s">
        <v>62</v>
      </c>
      <c r="AQ481" s="689" t="s">
        <v>253</v>
      </c>
      <c r="AR481" s="2443" t="s">
        <v>112</v>
      </c>
      <c r="AS481" s="2582" t="s">
        <v>541</v>
      </c>
      <c r="AT481" s="757"/>
      <c r="AU481" s="1263"/>
      <c r="AV481" s="757"/>
      <c r="AW481" s="1263">
        <v>22583.5</v>
      </c>
      <c r="AX481" s="2608">
        <v>46023.38334490741</v>
      </c>
      <c r="AY481" s="2113" t="s">
        <v>62</v>
      </c>
      <c r="AZ481" s="2608">
        <v>46387.39325231482</v>
      </c>
      <c r="BA481" s="2113" t="s">
        <v>62</v>
      </c>
      <c r="BB481" s="1354"/>
      <c r="BC481" s="2259" t="s">
        <v>514</v>
      </c>
      <c r="BD481" s="1648"/>
      <c r="BE481" s="1630"/>
      <c r="BF481" s="1630" t="str">
        <f>IF(T481="","",T481)</f>
        <v/>
      </c>
      <c r="BG481" s="1630"/>
      <c r="BH481" s="1630"/>
      <c r="BI481" s="1641">
        <v>0</v>
      </c>
    </row>
    <row customHeight="1" ht="14.25">
      <c r="A482" s="1369"/>
      <c r="B482" s="1369"/>
      <c r="C482" s="1369"/>
      <c r="D482" s="1369"/>
      <c r="E482" s="2265"/>
      <c r="F482" s="2265"/>
      <c r="G482" s="2265"/>
      <c r="H482" s="2265"/>
      <c r="I482" s="2292"/>
      <c r="J482" s="2292"/>
      <c r="K482" s="2262"/>
      <c r="L482" s="1375"/>
      <c r="M482" s="1782"/>
      <c r="N482" s="1782"/>
      <c r="O482" s="1782"/>
      <c r="P482" s="2380"/>
      <c r="Q482" s="2380"/>
      <c r="R482" s="2353"/>
      <c r="S482" s="2348"/>
      <c r="T482" s="2367"/>
      <c r="U482" s="306"/>
      <c r="V482" s="7380"/>
      <c r="W482" s="7381"/>
      <c r="X482" s="7380"/>
      <c r="Y482" s="7381"/>
      <c r="Z482" s="7380"/>
      <c r="AA482" s="7380"/>
      <c r="AB482" s="7380"/>
      <c r="AC482" s="7380"/>
      <c r="AD482" s="2192"/>
      <c r="AE482" s="2332"/>
      <c r="AF482" s="2443"/>
      <c r="AG482" s="2369"/>
      <c r="AH482" s="2113"/>
      <c r="AI482" s="2332"/>
      <c r="AJ482" s="2443" t="s">
        <v>113</v>
      </c>
      <c r="AK482" s="2333"/>
      <c r="AL482" s="2113"/>
      <c r="AM482" s="2301"/>
      <c r="AN482" s="2443"/>
      <c r="AO482" s="3340" t="s">
        <v>28</v>
      </c>
      <c r="AP482" s="2365"/>
      <c r="AQ482" s="7382"/>
      <c r="AR482" s="7383"/>
      <c r="AS482" s="7394" t="s">
        <v>515</v>
      </c>
      <c r="AT482" s="7380"/>
      <c r="AU482" s="7381"/>
      <c r="AV482" s="7380"/>
      <c r="AW482" s="7381"/>
      <c r="AX482" s="7380"/>
      <c r="AY482" s="7380"/>
      <c r="AZ482" s="7380"/>
      <c r="BA482" s="7380"/>
      <c r="BB482" s="7385"/>
      <c r="BC482" s="2260"/>
      <c r="BD482" s="1648"/>
      <c r="BE482" s="1630"/>
      <c r="BF482" s="1630"/>
      <c r="BG482" s="1630"/>
      <c r="BH482" s="1630"/>
      <c r="BI482" s="1641">
        <v>0</v>
      </c>
    </row>
    <row customHeight="1" ht="14.25">
      <c r="A483" s="1369"/>
      <c r="B483" s="1369"/>
      <c r="C483" s="1369"/>
      <c r="D483" s="1369"/>
      <c r="E483" s="2265"/>
      <c r="F483" s="2265"/>
      <c r="G483" s="2265"/>
      <c r="H483" s="2265"/>
      <c r="I483" s="2292"/>
      <c r="J483" s="2292"/>
      <c r="K483" s="2262"/>
      <c r="L483" s="1375"/>
      <c r="M483" s="1782"/>
      <c r="N483" s="1782"/>
      <c r="O483" s="1782"/>
      <c r="P483" s="2380"/>
      <c r="Q483" s="2380"/>
      <c r="R483" s="2353"/>
      <c r="S483" s="2348"/>
      <c r="T483" s="2367"/>
      <c r="U483" s="306"/>
      <c r="V483" s="7380"/>
      <c r="W483" s="7381"/>
      <c r="X483" s="7380"/>
      <c r="Y483" s="7381"/>
      <c r="Z483" s="7380"/>
      <c r="AA483" s="7380"/>
      <c r="AB483" s="7380"/>
      <c r="AC483" s="7380"/>
      <c r="AD483" s="2192"/>
      <c r="AE483" s="2332"/>
      <c r="AF483" s="2443"/>
      <c r="AG483" s="2369"/>
      <c r="AH483" s="2113"/>
      <c r="AI483" s="2332"/>
      <c r="AJ483" s="2443" t="s">
        <v>113</v>
      </c>
      <c r="AK483" s="2333"/>
      <c r="AL483" s="2113"/>
      <c r="AM483" s="7382"/>
      <c r="AN483" s="7386"/>
      <c r="AO483" s="7395" t="s">
        <v>516</v>
      </c>
      <c r="AP483" s="7383"/>
      <c r="AQ483" s="7383"/>
      <c r="AR483" s="7383"/>
      <c r="AS483" s="7380"/>
      <c r="AT483" s="7380"/>
      <c r="AU483" s="7381"/>
      <c r="AV483" s="7380"/>
      <c r="AW483" s="7381"/>
      <c r="AX483" s="7380"/>
      <c r="AY483" s="7380"/>
      <c r="AZ483" s="7380"/>
      <c r="BA483" s="7380"/>
      <c r="BB483" s="7385"/>
      <c r="BC483" s="2260"/>
      <c r="BD483" s="1648"/>
      <c r="BE483" s="1630"/>
      <c r="BF483" s="1630"/>
      <c r="BG483" s="1630"/>
      <c r="BH483" s="1630"/>
      <c r="BI483" s="1641">
        <v>0</v>
      </c>
    </row>
    <row s="1856" customFormat="1" customHeight="1" ht="11.25">
      <c r="A484" s="1369"/>
      <c r="B484" s="1369"/>
      <c r="C484" s="1369"/>
      <c r="D484" s="1369"/>
      <c r="E484" s="2265" t="s">
        <v>112</v>
      </c>
      <c r="F484" s="2265"/>
      <c r="G484" s="2265"/>
      <c r="H484" s="2265"/>
      <c r="I484" s="2292"/>
      <c r="J484" s="2292"/>
      <c r="K484" s="2262"/>
      <c r="L484" s="1375"/>
      <c r="M484" s="1782"/>
      <c r="N484" s="1782"/>
      <c r="O484" s="1782"/>
      <c r="P484" s="2380"/>
      <c r="Q484" s="2380"/>
      <c r="R484" s="2353"/>
      <c r="S484" s="2348"/>
      <c r="T484" s="2367"/>
      <c r="U484" s="306"/>
      <c r="V484" s="2972"/>
      <c r="W484" s="2973"/>
      <c r="X484" s="2974"/>
      <c r="Y484" s="2975"/>
      <c r="Z484" s="2976"/>
      <c r="AA484" s="2977"/>
      <c r="AB484" s="2978"/>
      <c r="AC484" s="2979"/>
      <c r="AD484" s="2192"/>
      <c r="AE484" s="2332"/>
      <c r="AF484" s="2443"/>
      <c r="AG484" s="7379" t="s">
        <v>28</v>
      </c>
      <c r="AH484" s="2113"/>
      <c r="AI484" s="2980"/>
      <c r="AJ484" s="2981"/>
      <c r="AK484" s="2982" t="s">
        <v>517</v>
      </c>
      <c r="AL484" s="2983"/>
      <c r="AM484" s="2984"/>
      <c r="AN484" s="2985"/>
      <c r="AO484" s="2986"/>
      <c r="AP484" s="2987"/>
      <c r="AQ484" s="2988"/>
      <c r="AR484" s="2989"/>
      <c r="AS484" s="2990"/>
      <c r="AT484" s="2991"/>
      <c r="AU484" s="2992"/>
      <c r="AV484" s="2993"/>
      <c r="AW484" s="2994"/>
      <c r="AX484" s="2995"/>
      <c r="AY484" s="2996"/>
      <c r="AZ484" s="2997"/>
      <c r="BA484" s="2998"/>
      <c r="BB484" s="2999"/>
      <c r="BC484" s="2260"/>
      <c r="BD484" s="1648"/>
      <c r="BE484" s="1630"/>
      <c r="BF484" s="1630"/>
      <c r="BG484" s="1630"/>
      <c r="BH484" s="1630"/>
      <c r="BI484" s="1641">
        <v>0</v>
      </c>
    </row>
    <row s="1856" customFormat="1" customHeight="1" ht="11.25">
      <c r="A485" s="1369"/>
      <c r="B485" s="1369"/>
      <c r="C485" s="1369"/>
      <c r="D485" s="1369"/>
      <c r="E485" s="2265" t="s">
        <v>112</v>
      </c>
      <c r="F485" s="2265"/>
      <c r="G485" s="2265"/>
      <c r="H485" s="2265"/>
      <c r="I485" s="2292"/>
      <c r="J485" s="2292"/>
      <c r="K485" s="2262"/>
      <c r="L485" s="1375"/>
      <c r="M485" s="1782"/>
      <c r="N485" s="1782"/>
      <c r="O485" s="1782"/>
      <c r="P485" s="2380"/>
      <c r="Q485" s="2380"/>
      <c r="R485" s="2353"/>
      <c r="S485" s="2349"/>
      <c r="T485" s="2368"/>
      <c r="U485" s="306"/>
      <c r="V485" s="3000"/>
      <c r="W485" s="3001" t="str">
        <f>Z454&amp;"-"&amp;AB454</f>
        <v>-</v>
      </c>
      <c r="X485" s="3002"/>
      <c r="Y485" s="3003" t="str">
        <f>AB454&amp;"-"&amp;AD454</f>
        <v>-нет</v>
      </c>
      <c r="Z485" s="3004"/>
      <c r="AA485" s="3005"/>
      <c r="AB485" s="3006"/>
      <c r="AC485" s="3007"/>
      <c r="AD485" s="2118"/>
      <c r="AE485" s="3008"/>
      <c r="AF485" s="3009"/>
      <c r="AG485" s="3010" t="s">
        <v>518</v>
      </c>
      <c r="AH485" s="3011"/>
      <c r="AI485" s="3012"/>
      <c r="AJ485" s="3013"/>
      <c r="AK485" s="3014"/>
      <c r="AL485" s="3015"/>
      <c r="AM485" s="3016"/>
      <c r="AN485" s="3017"/>
      <c r="AO485" s="3018"/>
      <c r="AP485" s="3019"/>
      <c r="AQ485" s="3020"/>
      <c r="AR485" s="3021"/>
      <c r="AS485" s="3022"/>
      <c r="AT485" s="3023"/>
      <c r="AU485" s="3024" t="str">
        <f>AX454&amp;"-"&amp;AZ454</f>
        <v>46023.38101851852-46387.39189814815</v>
      </c>
      <c r="AV485" s="3025"/>
      <c r="AW485" s="3026" t="str">
        <f>AZ454&amp;"-"&amp;BB454</f>
        <v>46387.39189814815-</v>
      </c>
      <c r="AX485" s="3027"/>
      <c r="AY485" s="3028"/>
      <c r="AZ485" s="3029"/>
      <c r="BA485" s="3030"/>
      <c r="BB485" s="3031" t="str">
        <f>BE454&amp;"-"&amp;BG454</f>
        <v>-</v>
      </c>
      <c r="BC485" s="2260"/>
      <c r="BD485" s="1648"/>
      <c r="BE485" s="1630"/>
      <c r="BF485" s="1630" t="str">
        <f>IF(T485="","",T485)</f>
        <v/>
      </c>
      <c r="BG485" s="1630"/>
      <c r="BH485" s="1630"/>
      <c r="BI485" s="1641">
        <v>0</v>
      </c>
    </row>
    <row customHeight="1" ht="14.25">
      <c r="A486" s="1369"/>
      <c r="B486" s="1369"/>
      <c r="C486" s="1369"/>
      <c r="D486" s="1369"/>
      <c r="E486" s="2265"/>
      <c r="F486" s="2265"/>
      <c r="G486" s="2265"/>
      <c r="H486" s="2265"/>
      <c r="I486" s="2292"/>
      <c r="J486" s="2292"/>
      <c r="K486" s="2262" t="str">
        <f>S450&amp;".2"</f>
        <v>3.1.1.2</v>
      </c>
      <c r="L486" s="1375"/>
      <c r="M486" s="1782"/>
      <c r="N486" s="1782"/>
      <c r="O486" s="1782"/>
      <c r="P486" s="2380"/>
      <c r="Q486" s="2380"/>
      <c r="R486" s="689" t="s">
        <v>253</v>
      </c>
      <c r="S486" s="2347" t="str">
        <f>$K486</f>
        <v>3.1.1.2</v>
      </c>
      <c r="T486" s="2366" t="s">
        <v>538</v>
      </c>
      <c r="U486" s="306"/>
      <c r="V486" s="757"/>
      <c r="W486" s="1263"/>
      <c r="X486" s="757"/>
      <c r="Y486" s="1263"/>
      <c r="Z486" s="2608"/>
      <c r="AA486" s="2113" t="s">
        <v>62</v>
      </c>
      <c r="AB486" s="2608"/>
      <c r="AC486" s="2113" t="s">
        <v>62</v>
      </c>
      <c r="AD486" s="2191" t="s">
        <v>19</v>
      </c>
      <c r="AE486" s="2332"/>
      <c r="AF486" s="2443">
        <v>1</v>
      </c>
      <c r="AG486" s="3339" t="s">
        <v>28</v>
      </c>
      <c r="AH486" s="2113" t="s">
        <v>62</v>
      </c>
      <c r="AI486" s="2332"/>
      <c r="AJ486" s="2443">
        <v>1</v>
      </c>
      <c r="AK486" s="2333" t="s">
        <v>532</v>
      </c>
      <c r="AL486" s="2113" t="s">
        <v>19</v>
      </c>
      <c r="AM486" s="2300"/>
      <c r="AN486" s="2443">
        <v>1</v>
      </c>
      <c r="AO486" s="3340" t="s">
        <v>28</v>
      </c>
      <c r="AP486" s="2364" t="s">
        <v>62</v>
      </c>
      <c r="AQ486" s="317"/>
      <c r="AR486" s="2443">
        <v>1</v>
      </c>
      <c r="AS486" s="2582" t="s">
        <v>541</v>
      </c>
      <c r="AT486" s="757"/>
      <c r="AU486" s="1263"/>
      <c r="AV486" s="757"/>
      <c r="AW486" s="1263">
        <v>2666.17</v>
      </c>
      <c r="AX486" s="2608">
        <v>46023.38337962963</v>
      </c>
      <c r="AY486" s="2113" t="s">
        <v>62</v>
      </c>
      <c r="AZ486" s="2608">
        <v>46387.39334490741</v>
      </c>
      <c r="BA486" s="2113" t="s">
        <v>62</v>
      </c>
      <c r="BB486" s="1354"/>
      <c r="BC486" s="2259" t="s">
        <v>514</v>
      </c>
      <c r="BD486" s="1648"/>
      <c r="BE486" s="1630"/>
      <c r="BF486" s="1630" t="str">
        <f>IF(T486="","",T486)</f>
        <v>Наружные инженерные сети водопровода, разработка грунта в отвал, стальные трубы диаметром:</v>
      </c>
      <c r="BG486" s="1630"/>
      <c r="BH486" s="1630"/>
      <c r="BI486" s="1641">
        <v>0</v>
      </c>
    </row>
    <row customHeight="1" ht="14.25">
      <c r="A487" s="1369"/>
      <c r="B487" s="1369"/>
      <c r="C487" s="1369"/>
      <c r="D487" s="1369"/>
      <c r="E487" s="2265"/>
      <c r="F487" s="2265"/>
      <c r="G487" s="2265"/>
      <c r="H487" s="2265"/>
      <c r="I487" s="2292"/>
      <c r="J487" s="2292"/>
      <c r="K487" s="2262" t="str">
        <f>S459&amp;".1"</f>
        <v>.1</v>
      </c>
      <c r="L487" s="1375"/>
      <c r="M487" s="1782"/>
      <c r="N487" s="1782"/>
      <c r="O487" s="1782"/>
      <c r="P487" s="2380"/>
      <c r="Q487" s="2380"/>
      <c r="R487" s="2353">
        <v>1</v>
      </c>
      <c r="S487" s="2347" t="str">
        <f>$K487</f>
        <v>.1</v>
      </c>
      <c r="T487" s="2366"/>
      <c r="U487" s="306"/>
      <c r="V487" s="757"/>
      <c r="W487" s="1263"/>
      <c r="X487" s="757"/>
      <c r="Y487" s="1263"/>
      <c r="Z487" s="2608"/>
      <c r="AA487" s="2113" t="s">
        <v>62</v>
      </c>
      <c r="AB487" s="2608"/>
      <c r="AC487" s="2113" t="s">
        <v>62</v>
      </c>
      <c r="AD487" s="2191" t="s">
        <v>62</v>
      </c>
      <c r="AE487" s="2332"/>
      <c r="AF487" s="2443">
        <v>1</v>
      </c>
      <c r="AG487" s="2369"/>
      <c r="AH487" s="2113" t="s">
        <v>62</v>
      </c>
      <c r="AI487" s="2332"/>
      <c r="AJ487" s="2443">
        <v>1</v>
      </c>
      <c r="AK487" s="2333" t="s">
        <v>28</v>
      </c>
      <c r="AL487" s="2113" t="s">
        <v>62</v>
      </c>
      <c r="AM487" s="2300"/>
      <c r="AN487" s="2443">
        <v>1</v>
      </c>
      <c r="AO487" s="2363"/>
      <c r="AP487" s="2364" t="s">
        <v>62</v>
      </c>
      <c r="AQ487" s="689" t="s">
        <v>253</v>
      </c>
      <c r="AR487" s="2443" t="s">
        <v>112</v>
      </c>
      <c r="AS487" s="2582" t="s">
        <v>541</v>
      </c>
      <c r="AT487" s="757"/>
      <c r="AU487" s="1263"/>
      <c r="AV487" s="757"/>
      <c r="AW487" s="1263">
        <v>3075.03</v>
      </c>
      <c r="AX487" s="2608">
        <v>46023.38340277778</v>
      </c>
      <c r="AY487" s="2113" t="s">
        <v>62</v>
      </c>
      <c r="AZ487" s="2608">
        <v>46387.393483796295</v>
      </c>
      <c r="BA487" s="2113" t="s">
        <v>62</v>
      </c>
      <c r="BB487" s="1354"/>
      <c r="BC487" s="2259" t="s">
        <v>514</v>
      </c>
      <c r="BD487" s="1648"/>
      <c r="BE487" s="1630"/>
      <c r="BF487" s="1630" t="str">
        <f>IF(T487="","",T487)</f>
        <v/>
      </c>
      <c r="BG487" s="1630"/>
      <c r="BH487" s="1630"/>
      <c r="BI487" s="1641">
        <v>0</v>
      </c>
    </row>
    <row customHeight="1" ht="14.25">
      <c r="A488" s="1369"/>
      <c r="B488" s="1369"/>
      <c r="C488" s="1369"/>
      <c r="D488" s="1369"/>
      <c r="E488" s="2265"/>
      <c r="F488" s="2265"/>
      <c r="G488" s="2265"/>
      <c r="H488" s="2265"/>
      <c r="I488" s="2292"/>
      <c r="J488" s="2292"/>
      <c r="K488" s="2262" t="str">
        <f>S484&amp;".1"</f>
        <v>.1</v>
      </c>
      <c r="L488" s="1375"/>
      <c r="M488" s="1782"/>
      <c r="N488" s="1782"/>
      <c r="O488" s="1782"/>
      <c r="P488" s="2380"/>
      <c r="Q488" s="2380"/>
      <c r="R488" s="2353">
        <v>1</v>
      </c>
      <c r="S488" s="2347" t="str">
        <f>$K488</f>
        <v>.1</v>
      </c>
      <c r="T488" s="2366"/>
      <c r="U488" s="306"/>
      <c r="V488" s="757"/>
      <c r="W488" s="1263"/>
      <c r="X488" s="757"/>
      <c r="Y488" s="1263"/>
      <c r="Z488" s="2608"/>
      <c r="AA488" s="2113" t="s">
        <v>62</v>
      </c>
      <c r="AB488" s="2608"/>
      <c r="AC488" s="2113" t="s">
        <v>62</v>
      </c>
      <c r="AD488" s="2191" t="s">
        <v>62</v>
      </c>
      <c r="AE488" s="2332"/>
      <c r="AF488" s="2443">
        <v>1</v>
      </c>
      <c r="AG488" s="2369"/>
      <c r="AH488" s="2113" t="s">
        <v>62</v>
      </c>
      <c r="AI488" s="2332"/>
      <c r="AJ488" s="2443">
        <v>1</v>
      </c>
      <c r="AK488" s="2333" t="s">
        <v>28</v>
      </c>
      <c r="AL488" s="2113" t="s">
        <v>62</v>
      </c>
      <c r="AM488" s="2300"/>
      <c r="AN488" s="2443">
        <v>1</v>
      </c>
      <c r="AO488" s="2363"/>
      <c r="AP488" s="2364" t="s">
        <v>62</v>
      </c>
      <c r="AQ488" s="689" t="s">
        <v>253</v>
      </c>
      <c r="AR488" s="2443" t="s">
        <v>91</v>
      </c>
      <c r="AS488" s="2582" t="s">
        <v>541</v>
      </c>
      <c r="AT488" s="757"/>
      <c r="AU488" s="1263"/>
      <c r="AV488" s="757"/>
      <c r="AW488" s="1263">
        <v>3238.3</v>
      </c>
      <c r="AX488" s="2608">
        <v>46023.3834375</v>
      </c>
      <c r="AY488" s="2113" t="s">
        <v>62</v>
      </c>
      <c r="AZ488" s="2608">
        <v>46387.39355324074</v>
      </c>
      <c r="BA488" s="2113" t="s">
        <v>62</v>
      </c>
      <c r="BB488" s="1354"/>
      <c r="BC488" s="2259" t="s">
        <v>514</v>
      </c>
      <c r="BD488" s="1648"/>
      <c r="BE488" s="1630"/>
      <c r="BF488" s="1630" t="str">
        <f>IF(T488="","",T488)</f>
        <v/>
      </c>
      <c r="BG488" s="1630"/>
      <c r="BH488" s="1630"/>
      <c r="BI488" s="1641">
        <v>0</v>
      </c>
    </row>
    <row customHeight="1" ht="14.25">
      <c r="A489" s="1369"/>
      <c r="B489" s="1369"/>
      <c r="C489" s="1369"/>
      <c r="D489" s="1369"/>
      <c r="E489" s="2265"/>
      <c r="F489" s="2265"/>
      <c r="G489" s="2265"/>
      <c r="H489" s="2265"/>
      <c r="I489" s="2292"/>
      <c r="J489" s="2292"/>
      <c r="K489" s="2262" t="str">
        <f>S485&amp;".1"</f>
        <v>.1</v>
      </c>
      <c r="L489" s="1375"/>
      <c r="M489" s="1782"/>
      <c r="N489" s="1782"/>
      <c r="O489" s="1782"/>
      <c r="P489" s="2380"/>
      <c r="Q489" s="2380"/>
      <c r="R489" s="2353">
        <v>1</v>
      </c>
      <c r="S489" s="2347" t="str">
        <f>$K489</f>
        <v>.1</v>
      </c>
      <c r="T489" s="2366"/>
      <c r="U489" s="306"/>
      <c r="V489" s="757"/>
      <c r="W489" s="1263"/>
      <c r="X489" s="757"/>
      <c r="Y489" s="1263"/>
      <c r="Z489" s="2608"/>
      <c r="AA489" s="2113" t="s">
        <v>62</v>
      </c>
      <c r="AB489" s="2608"/>
      <c r="AC489" s="2113" t="s">
        <v>62</v>
      </c>
      <c r="AD489" s="2191" t="s">
        <v>62</v>
      </c>
      <c r="AE489" s="2332"/>
      <c r="AF489" s="2443">
        <v>1</v>
      </c>
      <c r="AG489" s="2369"/>
      <c r="AH489" s="2113" t="s">
        <v>62</v>
      </c>
      <c r="AI489" s="2332"/>
      <c r="AJ489" s="2443">
        <v>1</v>
      </c>
      <c r="AK489" s="2333" t="s">
        <v>28</v>
      </c>
      <c r="AL489" s="2113" t="s">
        <v>62</v>
      </c>
      <c r="AM489" s="2300"/>
      <c r="AN489" s="2443">
        <v>1</v>
      </c>
      <c r="AO489" s="2363"/>
      <c r="AP489" s="2364" t="s">
        <v>62</v>
      </c>
      <c r="AQ489" s="689" t="s">
        <v>253</v>
      </c>
      <c r="AR489" s="2443" t="s">
        <v>92</v>
      </c>
      <c r="AS489" s="2582" t="s">
        <v>541</v>
      </c>
      <c r="AT489" s="757"/>
      <c r="AU489" s="1263"/>
      <c r="AV489" s="757"/>
      <c r="AW489" s="1263">
        <v>3851.59</v>
      </c>
      <c r="AX489" s="2608">
        <v>46023.38348379629</v>
      </c>
      <c r="AY489" s="2113" t="s">
        <v>62</v>
      </c>
      <c r="AZ489" s="2608">
        <v>46387.39363425926</v>
      </c>
      <c r="BA489" s="2113" t="s">
        <v>62</v>
      </c>
      <c r="BB489" s="1354"/>
      <c r="BC489" s="2259" t="s">
        <v>514</v>
      </c>
      <c r="BD489" s="1648"/>
      <c r="BE489" s="1630"/>
      <c r="BF489" s="1630" t="str">
        <f>IF(T489="","",T489)</f>
        <v/>
      </c>
      <c r="BG489" s="1630"/>
      <c r="BH489" s="1630"/>
      <c r="BI489" s="1641">
        <v>0</v>
      </c>
    </row>
    <row customHeight="1" ht="14.25">
      <c r="A490" s="1369"/>
      <c r="B490" s="1369"/>
      <c r="C490" s="1369"/>
      <c r="D490" s="1369"/>
      <c r="E490" s="2265"/>
      <c r="F490" s="2265"/>
      <c r="G490" s="2265"/>
      <c r="H490" s="2265"/>
      <c r="I490" s="2292"/>
      <c r="J490" s="2292"/>
      <c r="K490" s="2262" t="str">
        <f>S450&amp;".1"</f>
        <v>3.1.1.1</v>
      </c>
      <c r="L490" s="1375"/>
      <c r="M490" s="1782"/>
      <c r="N490" s="1782"/>
      <c r="O490" s="1782"/>
      <c r="P490" s="2380"/>
      <c r="Q490" s="2380"/>
      <c r="R490" s="2353"/>
      <c r="S490" s="2348"/>
      <c r="T490" s="2367"/>
      <c r="U490" s="306"/>
      <c r="V490" s="7380"/>
      <c r="W490" s="7381"/>
      <c r="X490" s="7380"/>
      <c r="Y490" s="7381"/>
      <c r="Z490" s="7380"/>
      <c r="AA490" s="7380"/>
      <c r="AB490" s="7380"/>
      <c r="AC490" s="7380"/>
      <c r="AD490" s="2192"/>
      <c r="AE490" s="2332"/>
      <c r="AF490" s="2443"/>
      <c r="AG490" s="3339" t="s">
        <v>28</v>
      </c>
      <c r="AH490" s="2113"/>
      <c r="AI490" s="2332"/>
      <c r="AJ490" s="2443"/>
      <c r="AK490" s="2333"/>
      <c r="AL490" s="2113"/>
      <c r="AM490" s="2301"/>
      <c r="AN490" s="2443"/>
      <c r="AO490" s="3340" t="s">
        <v>28</v>
      </c>
      <c r="AP490" s="2365"/>
      <c r="AQ490" s="7382"/>
      <c r="AR490" s="7383"/>
      <c r="AS490" s="7396" t="s">
        <v>515</v>
      </c>
      <c r="AT490" s="7380"/>
      <c r="AU490" s="7381"/>
      <c r="AV490" s="7380"/>
      <c r="AW490" s="7381"/>
      <c r="AX490" s="7380"/>
      <c r="AY490" s="7380"/>
      <c r="AZ490" s="7380"/>
      <c r="BA490" s="7380"/>
      <c r="BB490" s="7385"/>
      <c r="BC490" s="2260"/>
      <c r="BD490" s="1648"/>
      <c r="BE490" s="1630"/>
      <c r="BF490" s="1630"/>
      <c r="BG490" s="1630"/>
      <c r="BH490" s="1630"/>
      <c r="BI490" s="1641">
        <v>0</v>
      </c>
    </row>
    <row customHeight="1" ht="14.25">
      <c r="A491" s="1369"/>
      <c r="B491" s="1369"/>
      <c r="C491" s="1369"/>
      <c r="D491" s="1369"/>
      <c r="E491" s="2265"/>
      <c r="F491" s="2265"/>
      <c r="G491" s="2265"/>
      <c r="H491" s="2265"/>
      <c r="I491" s="2292"/>
      <c r="J491" s="2292"/>
      <c r="K491" s="2262" t="str">
        <f>S450&amp;".1"</f>
        <v>3.1.1.1</v>
      </c>
      <c r="L491" s="1375"/>
      <c r="M491" s="1782"/>
      <c r="N491" s="1782"/>
      <c r="O491" s="1782"/>
      <c r="P491" s="2380"/>
      <c r="Q491" s="2380"/>
      <c r="R491" s="2353"/>
      <c r="S491" s="2348"/>
      <c r="T491" s="2367"/>
      <c r="U491" s="306"/>
      <c r="V491" s="7380"/>
      <c r="W491" s="7381"/>
      <c r="X491" s="7380"/>
      <c r="Y491" s="7381"/>
      <c r="Z491" s="7380"/>
      <c r="AA491" s="7380"/>
      <c r="AB491" s="7380"/>
      <c r="AC491" s="7380"/>
      <c r="AD491" s="2192"/>
      <c r="AE491" s="2332"/>
      <c r="AF491" s="2443"/>
      <c r="AG491" s="3339" t="s">
        <v>28</v>
      </c>
      <c r="AH491" s="2113"/>
      <c r="AI491" s="2332"/>
      <c r="AJ491" s="2443"/>
      <c r="AK491" s="2333"/>
      <c r="AL491" s="2113"/>
      <c r="AM491" s="7382"/>
      <c r="AN491" s="7386"/>
      <c r="AO491" s="7397" t="s">
        <v>516</v>
      </c>
      <c r="AP491" s="7383"/>
      <c r="AQ491" s="7383"/>
      <c r="AR491" s="7383"/>
      <c r="AS491" s="7380"/>
      <c r="AT491" s="7380"/>
      <c r="AU491" s="7381"/>
      <c r="AV491" s="7380"/>
      <c r="AW491" s="7381"/>
      <c r="AX491" s="7380"/>
      <c r="AY491" s="7380"/>
      <c r="AZ491" s="7380"/>
      <c r="BA491" s="7380"/>
      <c r="BB491" s="7385"/>
      <c r="BC491" s="2260"/>
      <c r="BD491" s="1648"/>
      <c r="BE491" s="1630"/>
      <c r="BF491" s="1630"/>
      <c r="BG491" s="1630"/>
      <c r="BH491" s="1630"/>
      <c r="BI491" s="1641">
        <v>0</v>
      </c>
    </row>
    <row customHeight="1" ht="14.25">
      <c r="A492" s="1369"/>
      <c r="B492" s="1369"/>
      <c r="C492" s="1369"/>
      <c r="D492" s="1369"/>
      <c r="E492" s="2265"/>
      <c r="F492" s="2265"/>
      <c r="G492" s="2265"/>
      <c r="H492" s="2265"/>
      <c r="I492" s="2292"/>
      <c r="J492" s="2292"/>
      <c r="K492" s="2262" t="str">
        <f>S486&amp;".1"</f>
        <v>3.1.1.2.1</v>
      </c>
      <c r="L492" s="1375"/>
      <c r="M492" s="1782"/>
      <c r="N492" s="1782"/>
      <c r="O492" s="1782"/>
      <c r="P492" s="2380"/>
      <c r="Q492" s="2380"/>
      <c r="R492" s="2353">
        <v>1</v>
      </c>
      <c r="S492" s="2347" t="str">
        <f>$K492</f>
        <v>3.1.1.2.1</v>
      </c>
      <c r="T492" s="2366"/>
      <c r="U492" s="306"/>
      <c r="V492" s="757"/>
      <c r="W492" s="1263"/>
      <c r="X492" s="757"/>
      <c r="Y492" s="1263"/>
      <c r="Z492" s="2608"/>
      <c r="AA492" s="2113" t="s">
        <v>62</v>
      </c>
      <c r="AB492" s="2608"/>
      <c r="AC492" s="2113" t="s">
        <v>62</v>
      </c>
      <c r="AD492" s="2191" t="s">
        <v>62</v>
      </c>
      <c r="AE492" s="2332"/>
      <c r="AF492" s="2443">
        <v>1</v>
      </c>
      <c r="AG492" s="2369"/>
      <c r="AH492" s="2113" t="s">
        <v>62</v>
      </c>
      <c r="AI492" s="689" t="s">
        <v>253</v>
      </c>
      <c r="AJ492" s="2443" t="s">
        <v>112</v>
      </c>
      <c r="AK492" s="2333" t="s">
        <v>533</v>
      </c>
      <c r="AL492" s="2113" t="s">
        <v>19</v>
      </c>
      <c r="AM492" s="2300"/>
      <c r="AN492" s="2443">
        <v>1</v>
      </c>
      <c r="AO492" s="3340" t="s">
        <v>28</v>
      </c>
      <c r="AP492" s="2364" t="s">
        <v>62</v>
      </c>
      <c r="AQ492" s="317"/>
      <c r="AR492" s="2443">
        <v>1</v>
      </c>
      <c r="AS492" s="2582" t="s">
        <v>541</v>
      </c>
      <c r="AT492" s="757"/>
      <c r="AU492" s="1263"/>
      <c r="AV492" s="757"/>
      <c r="AW492" s="1263">
        <v>5455.33</v>
      </c>
      <c r="AX492" s="2608">
        <v>46023.383518518516</v>
      </c>
      <c r="AY492" s="2113" t="s">
        <v>62</v>
      </c>
      <c r="AZ492" s="2608">
        <v>46387.39375</v>
      </c>
      <c r="BA492" s="2113" t="s">
        <v>62</v>
      </c>
      <c r="BB492" s="1354"/>
      <c r="BC492" s="2259" t="s">
        <v>514</v>
      </c>
      <c r="BD492" s="1648"/>
      <c r="BE492" s="1630"/>
      <c r="BF492" s="1630" t="str">
        <f>IF(T492="","",T492)</f>
        <v/>
      </c>
      <c r="BG492" s="1630"/>
      <c r="BH492" s="1630"/>
      <c r="BI492" s="1641">
        <v>0</v>
      </c>
    </row>
    <row customHeight="1" ht="14.25">
      <c r="A493" s="1369"/>
      <c r="B493" s="1369"/>
      <c r="C493" s="1369"/>
      <c r="D493" s="1369"/>
      <c r="E493" s="2265"/>
      <c r="F493" s="2265"/>
      <c r="G493" s="2265"/>
      <c r="H493" s="2265"/>
      <c r="I493" s="2292"/>
      <c r="J493" s="2292"/>
      <c r="K493" s="2262" t="str">
        <f>S489&amp;".1"</f>
        <v>.1.1</v>
      </c>
      <c r="L493" s="1375"/>
      <c r="M493" s="1782"/>
      <c r="N493" s="1782"/>
      <c r="O493" s="1782"/>
      <c r="P493" s="2380"/>
      <c r="Q493" s="2380"/>
      <c r="R493" s="2353">
        <v>1</v>
      </c>
      <c r="S493" s="2347" t="str">
        <f>$K493</f>
        <v>.1.1</v>
      </c>
      <c r="T493" s="2366"/>
      <c r="U493" s="306"/>
      <c r="V493" s="757"/>
      <c r="W493" s="1263"/>
      <c r="X493" s="757"/>
      <c r="Y493" s="1263"/>
      <c r="Z493" s="2608"/>
      <c r="AA493" s="2113" t="s">
        <v>62</v>
      </c>
      <c r="AB493" s="2608"/>
      <c r="AC493" s="2113" t="s">
        <v>62</v>
      </c>
      <c r="AD493" s="2191" t="s">
        <v>62</v>
      </c>
      <c r="AE493" s="2332"/>
      <c r="AF493" s="2443">
        <v>1</v>
      </c>
      <c r="AG493" s="2369"/>
      <c r="AH493" s="2113" t="s">
        <v>62</v>
      </c>
      <c r="AI493" s="2332"/>
      <c r="AJ493" s="2443">
        <v>1</v>
      </c>
      <c r="AK493" s="2333" t="s">
        <v>28</v>
      </c>
      <c r="AL493" s="2113" t="s">
        <v>62</v>
      </c>
      <c r="AM493" s="2300"/>
      <c r="AN493" s="2443">
        <v>1</v>
      </c>
      <c r="AO493" s="2363"/>
      <c r="AP493" s="2364" t="s">
        <v>62</v>
      </c>
      <c r="AQ493" s="689" t="s">
        <v>253</v>
      </c>
      <c r="AR493" s="2443" t="s">
        <v>112</v>
      </c>
      <c r="AS493" s="2582" t="s">
        <v>541</v>
      </c>
      <c r="AT493" s="757"/>
      <c r="AU493" s="1263"/>
      <c r="AV493" s="757"/>
      <c r="AW493" s="1263">
        <v>6860.72</v>
      </c>
      <c r="AX493" s="2608">
        <v>46023.38355324074</v>
      </c>
      <c r="AY493" s="2113" t="s">
        <v>62</v>
      </c>
      <c r="AZ493" s="2608">
        <v>46387.393842592595</v>
      </c>
      <c r="BA493" s="2113" t="s">
        <v>62</v>
      </c>
      <c r="BB493" s="1354"/>
      <c r="BC493" s="2259" t="s">
        <v>514</v>
      </c>
      <c r="BD493" s="1648"/>
      <c r="BE493" s="1630"/>
      <c r="BF493" s="1630" t="str">
        <f>IF(T493="","",T493)</f>
        <v/>
      </c>
      <c r="BG493" s="1630"/>
      <c r="BH493" s="1630"/>
      <c r="BI493" s="1641">
        <v>0</v>
      </c>
    </row>
    <row customHeight="1" ht="14.25">
      <c r="A494" s="1369"/>
      <c r="B494" s="1369"/>
      <c r="C494" s="1369"/>
      <c r="D494" s="1369"/>
      <c r="E494" s="2265"/>
      <c r="F494" s="2265"/>
      <c r="G494" s="2265"/>
      <c r="H494" s="2265"/>
      <c r="I494" s="2292"/>
      <c r="J494" s="2292"/>
      <c r="K494" s="2262"/>
      <c r="L494" s="1375"/>
      <c r="M494" s="1782"/>
      <c r="N494" s="1782"/>
      <c r="O494" s="1782"/>
      <c r="P494" s="2380"/>
      <c r="Q494" s="2380"/>
      <c r="R494" s="2353"/>
      <c r="S494" s="2348"/>
      <c r="T494" s="2367"/>
      <c r="U494" s="306"/>
      <c r="V494" s="7380"/>
      <c r="W494" s="7381"/>
      <c r="X494" s="7380"/>
      <c r="Y494" s="7381"/>
      <c r="Z494" s="7380"/>
      <c r="AA494" s="7380"/>
      <c r="AB494" s="7380"/>
      <c r="AC494" s="7380"/>
      <c r="AD494" s="2192"/>
      <c r="AE494" s="2332"/>
      <c r="AF494" s="2443"/>
      <c r="AG494" s="2369"/>
      <c r="AH494" s="2113"/>
      <c r="AI494" s="2332"/>
      <c r="AJ494" s="2443">
        <v>1</v>
      </c>
      <c r="AK494" s="2333"/>
      <c r="AL494" s="2113"/>
      <c r="AM494" s="2301"/>
      <c r="AN494" s="2443"/>
      <c r="AO494" s="3340" t="s">
        <v>28</v>
      </c>
      <c r="AP494" s="2365"/>
      <c r="AQ494" s="7382"/>
      <c r="AR494" s="7383"/>
      <c r="AS494" s="7398" t="s">
        <v>515</v>
      </c>
      <c r="AT494" s="7380"/>
      <c r="AU494" s="7381"/>
      <c r="AV494" s="7380"/>
      <c r="AW494" s="7381"/>
      <c r="AX494" s="7380"/>
      <c r="AY494" s="7380"/>
      <c r="AZ494" s="7380"/>
      <c r="BA494" s="7380"/>
      <c r="BB494" s="7385"/>
      <c r="BC494" s="2260"/>
      <c r="BD494" s="1648"/>
      <c r="BE494" s="1630"/>
      <c r="BF494" s="1630"/>
      <c r="BG494" s="1630"/>
      <c r="BH494" s="1630"/>
      <c r="BI494" s="1641">
        <v>0</v>
      </c>
    </row>
    <row customHeight="1" ht="14.25">
      <c r="A495" s="1369"/>
      <c r="B495" s="1369"/>
      <c r="C495" s="1369"/>
      <c r="D495" s="1369"/>
      <c r="E495" s="2265"/>
      <c r="F495" s="2265"/>
      <c r="G495" s="2265"/>
      <c r="H495" s="2265"/>
      <c r="I495" s="2292"/>
      <c r="J495" s="2292"/>
      <c r="K495" s="2262"/>
      <c r="L495" s="1375"/>
      <c r="M495" s="1782"/>
      <c r="N495" s="1782"/>
      <c r="O495" s="1782"/>
      <c r="P495" s="2380"/>
      <c r="Q495" s="2380"/>
      <c r="R495" s="2353"/>
      <c r="S495" s="2348"/>
      <c r="T495" s="2367"/>
      <c r="U495" s="306"/>
      <c r="V495" s="7380"/>
      <c r="W495" s="7381"/>
      <c r="X495" s="7380"/>
      <c r="Y495" s="7381"/>
      <c r="Z495" s="7380"/>
      <c r="AA495" s="7380"/>
      <c r="AB495" s="7380"/>
      <c r="AC495" s="7380"/>
      <c r="AD495" s="2192"/>
      <c r="AE495" s="2332"/>
      <c r="AF495" s="2443"/>
      <c r="AG495" s="2369"/>
      <c r="AH495" s="2113"/>
      <c r="AI495" s="2332"/>
      <c r="AJ495" s="2443">
        <v>1</v>
      </c>
      <c r="AK495" s="2333"/>
      <c r="AL495" s="2113"/>
      <c r="AM495" s="7382"/>
      <c r="AN495" s="7386"/>
      <c r="AO495" s="7399" t="s">
        <v>516</v>
      </c>
      <c r="AP495" s="7383"/>
      <c r="AQ495" s="7383"/>
      <c r="AR495" s="7383"/>
      <c r="AS495" s="7380"/>
      <c r="AT495" s="7380"/>
      <c r="AU495" s="7381"/>
      <c r="AV495" s="7380"/>
      <c r="AW495" s="7381"/>
      <c r="AX495" s="7380"/>
      <c r="AY495" s="7380"/>
      <c r="AZ495" s="7380"/>
      <c r="BA495" s="7380"/>
      <c r="BB495" s="7385"/>
      <c r="BC495" s="2260"/>
      <c r="BD495" s="1648"/>
      <c r="BE495" s="1630"/>
      <c r="BF495" s="1630"/>
      <c r="BG495" s="1630"/>
      <c r="BH495" s="1630"/>
      <c r="BI495" s="1641">
        <v>0</v>
      </c>
    </row>
    <row customHeight="1" ht="14.25">
      <c r="A496" s="1369"/>
      <c r="B496" s="1369"/>
      <c r="C496" s="1369"/>
      <c r="D496" s="1369"/>
      <c r="E496" s="2265"/>
      <c r="F496" s="2265"/>
      <c r="G496" s="2265"/>
      <c r="H496" s="2265"/>
      <c r="I496" s="2292"/>
      <c r="J496" s="2292"/>
      <c r="K496" s="2262" t="str">
        <f>S491&amp;".1"</f>
        <v>.1</v>
      </c>
      <c r="L496" s="1375"/>
      <c r="M496" s="1782"/>
      <c r="N496" s="1782"/>
      <c r="O496" s="1782"/>
      <c r="P496" s="2380"/>
      <c r="Q496" s="2380"/>
      <c r="R496" s="2353">
        <v>1</v>
      </c>
      <c r="S496" s="2347" t="str">
        <f>$K496</f>
        <v>.1</v>
      </c>
      <c r="T496" s="2366"/>
      <c r="U496" s="306"/>
      <c r="V496" s="757"/>
      <c r="W496" s="1263"/>
      <c r="X496" s="757"/>
      <c r="Y496" s="1263"/>
      <c r="Z496" s="2608"/>
      <c r="AA496" s="2113" t="s">
        <v>62</v>
      </c>
      <c r="AB496" s="2608"/>
      <c r="AC496" s="2113" t="s">
        <v>62</v>
      </c>
      <c r="AD496" s="2191" t="s">
        <v>62</v>
      </c>
      <c r="AE496" s="2332"/>
      <c r="AF496" s="2443">
        <v>1</v>
      </c>
      <c r="AG496" s="2369"/>
      <c r="AH496" s="2113" t="s">
        <v>62</v>
      </c>
      <c r="AI496" s="689" t="s">
        <v>253</v>
      </c>
      <c r="AJ496" s="2443" t="s">
        <v>91</v>
      </c>
      <c r="AK496" s="2333" t="s">
        <v>534</v>
      </c>
      <c r="AL496" s="2113" t="s">
        <v>19</v>
      </c>
      <c r="AM496" s="2300"/>
      <c r="AN496" s="2443">
        <v>1</v>
      </c>
      <c r="AO496" s="3340" t="s">
        <v>28</v>
      </c>
      <c r="AP496" s="2364" t="s">
        <v>62</v>
      </c>
      <c r="AQ496" s="317"/>
      <c r="AR496" s="2443">
        <v>1</v>
      </c>
      <c r="AS496" s="2582" t="s">
        <v>541</v>
      </c>
      <c r="AT496" s="757"/>
      <c r="AU496" s="1263"/>
      <c r="AV496" s="757"/>
      <c r="AW496" s="1263">
        <v>7028.67</v>
      </c>
      <c r="AX496" s="2608">
        <v>46023.38358796296</v>
      </c>
      <c r="AY496" s="2113" t="s">
        <v>62</v>
      </c>
      <c r="AZ496" s="2608">
        <v>46387.393958333334</v>
      </c>
      <c r="BA496" s="2113" t="s">
        <v>62</v>
      </c>
      <c r="BB496" s="1354"/>
      <c r="BC496" s="2259" t="s">
        <v>514</v>
      </c>
      <c r="BD496" s="1648"/>
      <c r="BE496" s="1630"/>
      <c r="BF496" s="1630" t="str">
        <f>IF(T496="","",T496)</f>
        <v/>
      </c>
      <c r="BG496" s="1630"/>
      <c r="BH496" s="1630"/>
      <c r="BI496" s="1641">
        <v>0</v>
      </c>
    </row>
    <row customHeight="1" ht="14.25">
      <c r="A497" s="1369"/>
      <c r="B497" s="1369"/>
      <c r="C497" s="1369"/>
      <c r="D497" s="1369"/>
      <c r="E497" s="2265"/>
      <c r="F497" s="2265"/>
      <c r="G497" s="2265"/>
      <c r="H497" s="2265"/>
      <c r="I497" s="2292"/>
      <c r="J497" s="2292"/>
      <c r="K497" s="2262" t="str">
        <f>S493&amp;".1"</f>
        <v>.1.1.1</v>
      </c>
      <c r="L497" s="1375"/>
      <c r="M497" s="1782"/>
      <c r="N497" s="1782"/>
      <c r="O497" s="1782"/>
      <c r="P497" s="2380"/>
      <c r="Q497" s="2380"/>
      <c r="R497" s="2353">
        <v>1</v>
      </c>
      <c r="S497" s="2347" t="str">
        <f>$K497</f>
        <v>.1.1.1</v>
      </c>
      <c r="T497" s="2366"/>
      <c r="U497" s="306"/>
      <c r="V497" s="757"/>
      <c r="W497" s="1263"/>
      <c r="X497" s="757"/>
      <c r="Y497" s="1263"/>
      <c r="Z497" s="2608"/>
      <c r="AA497" s="2113" t="s">
        <v>62</v>
      </c>
      <c r="AB497" s="2608"/>
      <c r="AC497" s="2113" t="s">
        <v>62</v>
      </c>
      <c r="AD497" s="2191" t="s">
        <v>62</v>
      </c>
      <c r="AE497" s="2332"/>
      <c r="AF497" s="2443">
        <v>1</v>
      </c>
      <c r="AG497" s="2369"/>
      <c r="AH497" s="2113" t="s">
        <v>62</v>
      </c>
      <c r="AI497" s="2332"/>
      <c r="AJ497" s="2443">
        <v>1</v>
      </c>
      <c r="AK497" s="2333" t="s">
        <v>28</v>
      </c>
      <c r="AL497" s="2113" t="s">
        <v>62</v>
      </c>
      <c r="AM497" s="2300"/>
      <c r="AN497" s="2443">
        <v>1</v>
      </c>
      <c r="AO497" s="2363"/>
      <c r="AP497" s="2364" t="s">
        <v>62</v>
      </c>
      <c r="AQ497" s="689" t="s">
        <v>253</v>
      </c>
      <c r="AR497" s="2443" t="s">
        <v>112</v>
      </c>
      <c r="AS497" s="2582" t="s">
        <v>541</v>
      </c>
      <c r="AT497" s="757"/>
      <c r="AU497" s="1263"/>
      <c r="AV497" s="757"/>
      <c r="AW497" s="1263">
        <v>8996.26</v>
      </c>
      <c r="AX497" s="2608">
        <v>46023.38363425926</v>
      </c>
      <c r="AY497" s="2113" t="s">
        <v>62</v>
      </c>
      <c r="AZ497" s="2608">
        <v>46387.39402777778</v>
      </c>
      <c r="BA497" s="2113" t="s">
        <v>62</v>
      </c>
      <c r="BB497" s="1354"/>
      <c r="BC497" s="2259" t="s">
        <v>514</v>
      </c>
      <c r="BD497" s="1648"/>
      <c r="BE497" s="1630"/>
      <c r="BF497" s="1630" t="str">
        <f>IF(T497="","",T497)</f>
        <v/>
      </c>
      <c r="BG497" s="1630"/>
      <c r="BH497" s="1630"/>
      <c r="BI497" s="1641">
        <v>0</v>
      </c>
    </row>
    <row customHeight="1" ht="14.25">
      <c r="A498" s="1369"/>
      <c r="B498" s="1369"/>
      <c r="C498" s="1369"/>
      <c r="D498" s="1369"/>
      <c r="E498" s="2265"/>
      <c r="F498" s="2265"/>
      <c r="G498" s="2265"/>
      <c r="H498" s="2265"/>
      <c r="I498" s="2292"/>
      <c r="J498" s="2292"/>
      <c r="K498" s="2262" t="str">
        <f>S494&amp;".1"</f>
        <v>.1</v>
      </c>
      <c r="L498" s="1375"/>
      <c r="M498" s="1782"/>
      <c r="N498" s="1782"/>
      <c r="O498" s="1782"/>
      <c r="P498" s="2380"/>
      <c r="Q498" s="2380"/>
      <c r="R498" s="2353">
        <v>1</v>
      </c>
      <c r="S498" s="2347" t="str">
        <f>$K498</f>
        <v>.1</v>
      </c>
      <c r="T498" s="2366"/>
      <c r="U498" s="306"/>
      <c r="V498" s="757"/>
      <c r="W498" s="1263"/>
      <c r="X498" s="757"/>
      <c r="Y498" s="1263"/>
      <c r="Z498" s="2608"/>
      <c r="AA498" s="2113" t="s">
        <v>62</v>
      </c>
      <c r="AB498" s="2608"/>
      <c r="AC498" s="2113" t="s">
        <v>62</v>
      </c>
      <c r="AD498" s="2191" t="s">
        <v>62</v>
      </c>
      <c r="AE498" s="2332"/>
      <c r="AF498" s="2443">
        <v>1</v>
      </c>
      <c r="AG498" s="2369"/>
      <c r="AH498" s="2113" t="s">
        <v>62</v>
      </c>
      <c r="AI498" s="2332"/>
      <c r="AJ498" s="2443">
        <v>1</v>
      </c>
      <c r="AK498" s="2333" t="s">
        <v>28</v>
      </c>
      <c r="AL498" s="2113" t="s">
        <v>62</v>
      </c>
      <c r="AM498" s="2300"/>
      <c r="AN498" s="2443">
        <v>1</v>
      </c>
      <c r="AO498" s="2363"/>
      <c r="AP498" s="2364" t="s">
        <v>62</v>
      </c>
      <c r="AQ498" s="689" t="s">
        <v>253</v>
      </c>
      <c r="AR498" s="2443" t="s">
        <v>91</v>
      </c>
      <c r="AS498" s="2582" t="s">
        <v>541</v>
      </c>
      <c r="AT498" s="757"/>
      <c r="AU498" s="1263"/>
      <c r="AV498" s="757"/>
      <c r="AW498" s="1263">
        <v>8978.61</v>
      </c>
      <c r="AX498" s="2608">
        <v>46023.38365740741</v>
      </c>
      <c r="AY498" s="2113" t="s">
        <v>62</v>
      </c>
      <c r="AZ498" s="2608">
        <v>46387.394108796296</v>
      </c>
      <c r="BA498" s="2113" t="s">
        <v>62</v>
      </c>
      <c r="BB498" s="1354"/>
      <c r="BC498" s="2259" t="s">
        <v>514</v>
      </c>
      <c r="BD498" s="1648"/>
      <c r="BE498" s="1630"/>
      <c r="BF498" s="1630" t="str">
        <f>IF(T498="","",T498)</f>
        <v/>
      </c>
      <c r="BG498" s="1630"/>
      <c r="BH498" s="1630"/>
      <c r="BI498" s="1641">
        <v>0</v>
      </c>
    </row>
    <row customHeight="1" ht="14.25">
      <c r="A499" s="1369"/>
      <c r="B499" s="1369"/>
      <c r="C499" s="1369"/>
      <c r="D499" s="1369"/>
      <c r="E499" s="2265"/>
      <c r="F499" s="2265"/>
      <c r="G499" s="2265"/>
      <c r="H499" s="2265"/>
      <c r="I499" s="2292"/>
      <c r="J499" s="2292"/>
      <c r="K499" s="2262" t="str">
        <f>S495&amp;".1"</f>
        <v>.1</v>
      </c>
      <c r="L499" s="1375"/>
      <c r="M499" s="1782"/>
      <c r="N499" s="1782"/>
      <c r="O499" s="1782"/>
      <c r="P499" s="2380"/>
      <c r="Q499" s="2380"/>
      <c r="R499" s="2353">
        <v>1</v>
      </c>
      <c r="S499" s="2347" t="str">
        <f>$K499</f>
        <v>.1</v>
      </c>
      <c r="T499" s="2366"/>
      <c r="U499" s="306"/>
      <c r="V499" s="757"/>
      <c r="W499" s="1263"/>
      <c r="X499" s="757"/>
      <c r="Y499" s="1263"/>
      <c r="Z499" s="2608"/>
      <c r="AA499" s="2113" t="s">
        <v>62</v>
      </c>
      <c r="AB499" s="2608"/>
      <c r="AC499" s="2113" t="s">
        <v>62</v>
      </c>
      <c r="AD499" s="2191" t="s">
        <v>62</v>
      </c>
      <c r="AE499" s="2332"/>
      <c r="AF499" s="2443">
        <v>1</v>
      </c>
      <c r="AG499" s="2369"/>
      <c r="AH499" s="2113" t="s">
        <v>62</v>
      </c>
      <c r="AI499" s="2332"/>
      <c r="AJ499" s="2443">
        <v>1</v>
      </c>
      <c r="AK499" s="2333" t="s">
        <v>28</v>
      </c>
      <c r="AL499" s="2113" t="s">
        <v>62</v>
      </c>
      <c r="AM499" s="2300"/>
      <c r="AN499" s="2443">
        <v>1</v>
      </c>
      <c r="AO499" s="2363"/>
      <c r="AP499" s="2364" t="s">
        <v>62</v>
      </c>
      <c r="AQ499" s="689" t="s">
        <v>253</v>
      </c>
      <c r="AR499" s="2443" t="s">
        <v>92</v>
      </c>
      <c r="AS499" s="2582" t="s">
        <v>541</v>
      </c>
      <c r="AT499" s="757"/>
      <c r="AU499" s="1263"/>
      <c r="AV499" s="757"/>
      <c r="AW499" s="1263">
        <v>11642.89</v>
      </c>
      <c r="AX499" s="2608">
        <v>46023.38369212963</v>
      </c>
      <c r="AY499" s="2113" t="s">
        <v>62</v>
      </c>
      <c r="AZ499" s="2608">
        <v>46387.394166666665</v>
      </c>
      <c r="BA499" s="2113" t="s">
        <v>62</v>
      </c>
      <c r="BB499" s="1354"/>
      <c r="BC499" s="2259" t="s">
        <v>514</v>
      </c>
      <c r="BD499" s="1648"/>
      <c r="BE499" s="1630"/>
      <c r="BF499" s="1630" t="str">
        <f>IF(T499="","",T499)</f>
        <v/>
      </c>
      <c r="BG499" s="1630"/>
      <c r="BH499" s="1630"/>
      <c r="BI499" s="1641">
        <v>0</v>
      </c>
    </row>
    <row customHeight="1" ht="14.25">
      <c r="A500" s="1369"/>
      <c r="B500" s="1369"/>
      <c r="C500" s="1369"/>
      <c r="D500" s="1369"/>
      <c r="E500" s="2265"/>
      <c r="F500" s="2265"/>
      <c r="G500" s="2265"/>
      <c r="H500" s="2265"/>
      <c r="I500" s="2292"/>
      <c r="J500" s="2292"/>
      <c r="K500" s="2262"/>
      <c r="L500" s="1375"/>
      <c r="M500" s="1782"/>
      <c r="N500" s="1782"/>
      <c r="O500" s="1782"/>
      <c r="P500" s="2380"/>
      <c r="Q500" s="2380"/>
      <c r="R500" s="2353"/>
      <c r="S500" s="2348"/>
      <c r="T500" s="2367"/>
      <c r="U500" s="306"/>
      <c r="V500" s="7380"/>
      <c r="W500" s="7381"/>
      <c r="X500" s="7380"/>
      <c r="Y500" s="7381"/>
      <c r="Z500" s="7380"/>
      <c r="AA500" s="7380"/>
      <c r="AB500" s="7380"/>
      <c r="AC500" s="7380"/>
      <c r="AD500" s="2192"/>
      <c r="AE500" s="2332"/>
      <c r="AF500" s="2443"/>
      <c r="AG500" s="2369"/>
      <c r="AH500" s="2113"/>
      <c r="AI500" s="2332"/>
      <c r="AJ500" s="2443" t="s">
        <v>112</v>
      </c>
      <c r="AK500" s="2333"/>
      <c r="AL500" s="2113"/>
      <c r="AM500" s="2301"/>
      <c r="AN500" s="2443"/>
      <c r="AO500" s="3340" t="s">
        <v>28</v>
      </c>
      <c r="AP500" s="2365"/>
      <c r="AQ500" s="7382"/>
      <c r="AR500" s="7383"/>
      <c r="AS500" s="7400" t="s">
        <v>515</v>
      </c>
      <c r="AT500" s="7380"/>
      <c r="AU500" s="7381"/>
      <c r="AV500" s="7380"/>
      <c r="AW500" s="7381"/>
      <c r="AX500" s="7380"/>
      <c r="AY500" s="7380"/>
      <c r="AZ500" s="7380"/>
      <c r="BA500" s="7380"/>
      <c r="BB500" s="7385"/>
      <c r="BC500" s="2260"/>
      <c r="BD500" s="1648"/>
      <c r="BE500" s="1630"/>
      <c r="BF500" s="1630"/>
      <c r="BG500" s="1630"/>
      <c r="BH500" s="1630"/>
      <c r="BI500" s="1641">
        <v>0</v>
      </c>
    </row>
    <row customHeight="1" ht="14.25">
      <c r="A501" s="1369"/>
      <c r="B501" s="1369"/>
      <c r="C501" s="1369"/>
      <c r="D501" s="1369"/>
      <c r="E501" s="2265"/>
      <c r="F501" s="2265"/>
      <c r="G501" s="2265"/>
      <c r="H501" s="2265"/>
      <c r="I501" s="2292"/>
      <c r="J501" s="2292"/>
      <c r="K501" s="2262"/>
      <c r="L501" s="1375"/>
      <c r="M501" s="1782"/>
      <c r="N501" s="1782"/>
      <c r="O501" s="1782"/>
      <c r="P501" s="2380"/>
      <c r="Q501" s="2380"/>
      <c r="R501" s="2353"/>
      <c r="S501" s="2348"/>
      <c r="T501" s="2367"/>
      <c r="U501" s="306"/>
      <c r="V501" s="7380"/>
      <c r="W501" s="7381"/>
      <c r="X501" s="7380"/>
      <c r="Y501" s="7381"/>
      <c r="Z501" s="7380"/>
      <c r="AA501" s="7380"/>
      <c r="AB501" s="7380"/>
      <c r="AC501" s="7380"/>
      <c r="AD501" s="2192"/>
      <c r="AE501" s="2332"/>
      <c r="AF501" s="2443"/>
      <c r="AG501" s="2369"/>
      <c r="AH501" s="2113"/>
      <c r="AI501" s="2332"/>
      <c r="AJ501" s="2443" t="s">
        <v>112</v>
      </c>
      <c r="AK501" s="2333"/>
      <c r="AL501" s="2113"/>
      <c r="AM501" s="7382"/>
      <c r="AN501" s="7386"/>
      <c r="AO501" s="7401" t="s">
        <v>516</v>
      </c>
      <c r="AP501" s="7383"/>
      <c r="AQ501" s="7383"/>
      <c r="AR501" s="7383"/>
      <c r="AS501" s="7380"/>
      <c r="AT501" s="7380"/>
      <c r="AU501" s="7381"/>
      <c r="AV501" s="7380"/>
      <c r="AW501" s="7381"/>
      <c r="AX501" s="7380"/>
      <c r="AY501" s="7380"/>
      <c r="AZ501" s="7380"/>
      <c r="BA501" s="7380"/>
      <c r="BB501" s="7385"/>
      <c r="BC501" s="2260"/>
      <c r="BD501" s="1648"/>
      <c r="BE501" s="1630"/>
      <c r="BF501" s="1630"/>
      <c r="BG501" s="1630"/>
      <c r="BH501" s="1630"/>
      <c r="BI501" s="1641">
        <v>0</v>
      </c>
    </row>
    <row customHeight="1" ht="14.25">
      <c r="A502" s="1369"/>
      <c r="B502" s="1369"/>
      <c r="C502" s="1369"/>
      <c r="D502" s="1369"/>
      <c r="E502" s="2265"/>
      <c r="F502" s="2265"/>
      <c r="G502" s="2265"/>
      <c r="H502" s="2265"/>
      <c r="I502" s="2292"/>
      <c r="J502" s="2292"/>
      <c r="K502" s="2262" t="str">
        <f>S495&amp;".1"</f>
        <v>.1</v>
      </c>
      <c r="L502" s="1375"/>
      <c r="M502" s="1782"/>
      <c r="N502" s="1782"/>
      <c r="O502" s="1782"/>
      <c r="P502" s="2380"/>
      <c r="Q502" s="2380"/>
      <c r="R502" s="2353">
        <v>1</v>
      </c>
      <c r="S502" s="2347" t="str">
        <f>$K502</f>
        <v>.1</v>
      </c>
      <c r="T502" s="2366"/>
      <c r="U502" s="306"/>
      <c r="V502" s="757"/>
      <c r="W502" s="1263"/>
      <c r="X502" s="757"/>
      <c r="Y502" s="1263"/>
      <c r="Z502" s="2608"/>
      <c r="AA502" s="2113" t="s">
        <v>62</v>
      </c>
      <c r="AB502" s="2608"/>
      <c r="AC502" s="2113" t="s">
        <v>62</v>
      </c>
      <c r="AD502" s="2191" t="s">
        <v>62</v>
      </c>
      <c r="AE502" s="2332"/>
      <c r="AF502" s="2443">
        <v>1</v>
      </c>
      <c r="AG502" s="2369"/>
      <c r="AH502" s="2113" t="s">
        <v>62</v>
      </c>
      <c r="AI502" s="689" t="s">
        <v>253</v>
      </c>
      <c r="AJ502" s="2443" t="s">
        <v>92</v>
      </c>
      <c r="AK502" s="2333" t="s">
        <v>535</v>
      </c>
      <c r="AL502" s="2113" t="s">
        <v>19</v>
      </c>
      <c r="AM502" s="2300"/>
      <c r="AN502" s="2443">
        <v>1</v>
      </c>
      <c r="AO502" s="3340" t="s">
        <v>28</v>
      </c>
      <c r="AP502" s="2364" t="s">
        <v>62</v>
      </c>
      <c r="AQ502" s="317"/>
      <c r="AR502" s="2443">
        <v>1</v>
      </c>
      <c r="AS502" s="2582" t="s">
        <v>541</v>
      </c>
      <c r="AT502" s="757"/>
      <c r="AU502" s="1263"/>
      <c r="AV502" s="757"/>
      <c r="AW502" s="1263">
        <v>10696.17</v>
      </c>
      <c r="AX502" s="2608">
        <v>46023.383726851855</v>
      </c>
      <c r="AY502" s="2113" t="s">
        <v>62</v>
      </c>
      <c r="AZ502" s="2608">
        <v>46387.39424768519</v>
      </c>
      <c r="BA502" s="2113" t="s">
        <v>62</v>
      </c>
      <c r="BB502" s="1354"/>
      <c r="BC502" s="2259" t="s">
        <v>514</v>
      </c>
      <c r="BD502" s="1648"/>
      <c r="BE502" s="1630"/>
      <c r="BF502" s="1630" t="str">
        <f>IF(T502="","",T502)</f>
        <v/>
      </c>
      <c r="BG502" s="1630"/>
      <c r="BH502" s="1630"/>
      <c r="BI502" s="1641">
        <v>0</v>
      </c>
    </row>
    <row customHeight="1" ht="14.25">
      <c r="A503" s="1369"/>
      <c r="B503" s="1369"/>
      <c r="C503" s="1369"/>
      <c r="D503" s="1369"/>
      <c r="E503" s="2265"/>
      <c r="F503" s="2265"/>
      <c r="G503" s="2265"/>
      <c r="H503" s="2265"/>
      <c r="I503" s="2292"/>
      <c r="J503" s="2292"/>
      <c r="K503" s="2262" t="str">
        <f>S497&amp;".1"</f>
        <v>.1.1.1.1</v>
      </c>
      <c r="L503" s="1375"/>
      <c r="M503" s="1782"/>
      <c r="N503" s="1782"/>
      <c r="O503" s="1782"/>
      <c r="P503" s="2380"/>
      <c r="Q503" s="2380"/>
      <c r="R503" s="2353">
        <v>1</v>
      </c>
      <c r="S503" s="2347" t="str">
        <f>$K503</f>
        <v>.1.1.1.1</v>
      </c>
      <c r="T503" s="2366"/>
      <c r="U503" s="306"/>
      <c r="V503" s="757"/>
      <c r="W503" s="1263"/>
      <c r="X503" s="757"/>
      <c r="Y503" s="1263"/>
      <c r="Z503" s="2608"/>
      <c r="AA503" s="2113" t="s">
        <v>62</v>
      </c>
      <c r="AB503" s="2608"/>
      <c r="AC503" s="2113" t="s">
        <v>62</v>
      </c>
      <c r="AD503" s="2191" t="s">
        <v>62</v>
      </c>
      <c r="AE503" s="2332"/>
      <c r="AF503" s="2443">
        <v>1</v>
      </c>
      <c r="AG503" s="2369"/>
      <c r="AH503" s="2113" t="s">
        <v>62</v>
      </c>
      <c r="AI503" s="2332"/>
      <c r="AJ503" s="2443">
        <v>1</v>
      </c>
      <c r="AK503" s="2333" t="s">
        <v>28</v>
      </c>
      <c r="AL503" s="2113" t="s">
        <v>62</v>
      </c>
      <c r="AM503" s="2300"/>
      <c r="AN503" s="2443">
        <v>1</v>
      </c>
      <c r="AO503" s="2363"/>
      <c r="AP503" s="2364" t="s">
        <v>62</v>
      </c>
      <c r="AQ503" s="689" t="s">
        <v>253</v>
      </c>
      <c r="AR503" s="2443" t="s">
        <v>112</v>
      </c>
      <c r="AS503" s="2582" t="s">
        <v>541</v>
      </c>
      <c r="AT503" s="757"/>
      <c r="AU503" s="1263"/>
      <c r="AV503" s="757"/>
      <c r="AW503" s="1263">
        <v>13418.16</v>
      </c>
      <c r="AX503" s="2608">
        <v>46023.38377314815</v>
      </c>
      <c r="AY503" s="2113" t="s">
        <v>62</v>
      </c>
      <c r="AZ503" s="2608">
        <v>46387.39431712963</v>
      </c>
      <c r="BA503" s="2113" t="s">
        <v>62</v>
      </c>
      <c r="BB503" s="1354"/>
      <c r="BC503" s="2259" t="s">
        <v>514</v>
      </c>
      <c r="BD503" s="1648"/>
      <c r="BE503" s="1630"/>
      <c r="BF503" s="1630" t="str">
        <f>IF(T503="","",T503)</f>
        <v/>
      </c>
      <c r="BG503" s="1630"/>
      <c r="BH503" s="1630"/>
      <c r="BI503" s="1641">
        <v>0</v>
      </c>
    </row>
    <row customHeight="1" ht="14.25">
      <c r="A504" s="1369"/>
      <c r="B504" s="1369"/>
      <c r="C504" s="1369"/>
      <c r="D504" s="1369"/>
      <c r="E504" s="2265"/>
      <c r="F504" s="2265"/>
      <c r="G504" s="2265"/>
      <c r="H504" s="2265"/>
      <c r="I504" s="2292"/>
      <c r="J504" s="2292"/>
      <c r="K504" s="2262" t="str">
        <f>S500&amp;".1"</f>
        <v>.1</v>
      </c>
      <c r="L504" s="1375"/>
      <c r="M504" s="1782"/>
      <c r="N504" s="1782"/>
      <c r="O504" s="1782"/>
      <c r="P504" s="2380"/>
      <c r="Q504" s="2380"/>
      <c r="R504" s="2353">
        <v>1</v>
      </c>
      <c r="S504" s="2347" t="str">
        <f>$K504</f>
        <v>.1</v>
      </c>
      <c r="T504" s="2366"/>
      <c r="U504" s="306"/>
      <c r="V504" s="757"/>
      <c r="W504" s="1263"/>
      <c r="X504" s="757"/>
      <c r="Y504" s="1263"/>
      <c r="Z504" s="2608"/>
      <c r="AA504" s="2113" t="s">
        <v>62</v>
      </c>
      <c r="AB504" s="2608"/>
      <c r="AC504" s="2113" t="s">
        <v>62</v>
      </c>
      <c r="AD504" s="2191" t="s">
        <v>62</v>
      </c>
      <c r="AE504" s="2332"/>
      <c r="AF504" s="2443">
        <v>1</v>
      </c>
      <c r="AG504" s="2369"/>
      <c r="AH504" s="2113" t="s">
        <v>62</v>
      </c>
      <c r="AI504" s="2332"/>
      <c r="AJ504" s="2443">
        <v>1</v>
      </c>
      <c r="AK504" s="2333" t="s">
        <v>28</v>
      </c>
      <c r="AL504" s="2113" t="s">
        <v>62</v>
      </c>
      <c r="AM504" s="2300"/>
      <c r="AN504" s="2443">
        <v>1</v>
      </c>
      <c r="AO504" s="2363"/>
      <c r="AP504" s="2364" t="s">
        <v>62</v>
      </c>
      <c r="AQ504" s="689" t="s">
        <v>253</v>
      </c>
      <c r="AR504" s="2443" t="s">
        <v>91</v>
      </c>
      <c r="AS504" s="2582" t="s">
        <v>541</v>
      </c>
      <c r="AT504" s="757"/>
      <c r="AU504" s="1263"/>
      <c r="AV504" s="757"/>
      <c r="AW504" s="1263">
        <v>10986.12</v>
      </c>
      <c r="AX504" s="2608">
        <v>46023.38381944445</v>
      </c>
      <c r="AY504" s="2113" t="s">
        <v>62</v>
      </c>
      <c r="AZ504" s="2608">
        <v>46387.39438657407</v>
      </c>
      <c r="BA504" s="2113" t="s">
        <v>62</v>
      </c>
      <c r="BB504" s="1354"/>
      <c r="BC504" s="2259" t="s">
        <v>514</v>
      </c>
      <c r="BD504" s="1648"/>
      <c r="BE504" s="1630"/>
      <c r="BF504" s="1630" t="str">
        <f>IF(T504="","",T504)</f>
        <v/>
      </c>
      <c r="BG504" s="1630"/>
      <c r="BH504" s="1630"/>
      <c r="BI504" s="1641">
        <v>0</v>
      </c>
    </row>
    <row customHeight="1" ht="14.25">
      <c r="A505" s="1369"/>
      <c r="B505" s="1369"/>
      <c r="C505" s="1369"/>
      <c r="D505" s="1369"/>
      <c r="E505" s="2265"/>
      <c r="F505" s="2265"/>
      <c r="G505" s="2265"/>
      <c r="H505" s="2265"/>
      <c r="I505" s="2292"/>
      <c r="J505" s="2292"/>
      <c r="K505" s="2262" t="str">
        <f>S501&amp;".1"</f>
        <v>.1</v>
      </c>
      <c r="L505" s="1375"/>
      <c r="M505" s="1782"/>
      <c r="N505" s="1782"/>
      <c r="O505" s="1782"/>
      <c r="P505" s="2380"/>
      <c r="Q505" s="2380"/>
      <c r="R505" s="2353">
        <v>1</v>
      </c>
      <c r="S505" s="2347" t="str">
        <f>$K505</f>
        <v>.1</v>
      </c>
      <c r="T505" s="2366"/>
      <c r="U505" s="306"/>
      <c r="V505" s="757"/>
      <c r="W505" s="1263"/>
      <c r="X505" s="757"/>
      <c r="Y505" s="1263"/>
      <c r="Z505" s="2608"/>
      <c r="AA505" s="2113" t="s">
        <v>62</v>
      </c>
      <c r="AB505" s="2608"/>
      <c r="AC505" s="2113" t="s">
        <v>62</v>
      </c>
      <c r="AD505" s="2191" t="s">
        <v>62</v>
      </c>
      <c r="AE505" s="2332"/>
      <c r="AF505" s="2443">
        <v>1</v>
      </c>
      <c r="AG505" s="2369"/>
      <c r="AH505" s="2113" t="s">
        <v>62</v>
      </c>
      <c r="AI505" s="2332"/>
      <c r="AJ505" s="2443">
        <v>1</v>
      </c>
      <c r="AK505" s="2333" t="s">
        <v>28</v>
      </c>
      <c r="AL505" s="2113" t="s">
        <v>62</v>
      </c>
      <c r="AM505" s="2300"/>
      <c r="AN505" s="2443">
        <v>1</v>
      </c>
      <c r="AO505" s="2363"/>
      <c r="AP505" s="2364" t="s">
        <v>62</v>
      </c>
      <c r="AQ505" s="689" t="s">
        <v>253</v>
      </c>
      <c r="AR505" s="2443" t="s">
        <v>92</v>
      </c>
      <c r="AS505" s="2582" t="s">
        <v>541</v>
      </c>
      <c r="AT505" s="757"/>
      <c r="AU505" s="1263"/>
      <c r="AV505" s="757"/>
      <c r="AW505" s="1263">
        <v>13766.57</v>
      </c>
      <c r="AX505" s="2608">
        <v>46023.38384259259</v>
      </c>
      <c r="AY505" s="2113" t="s">
        <v>62</v>
      </c>
      <c r="AZ505" s="2608">
        <v>46387.39445601852</v>
      </c>
      <c r="BA505" s="2113" t="s">
        <v>62</v>
      </c>
      <c r="BB505" s="1354"/>
      <c r="BC505" s="2259" t="s">
        <v>514</v>
      </c>
      <c r="BD505" s="1648"/>
      <c r="BE505" s="1630"/>
      <c r="BF505" s="1630" t="str">
        <f>IF(T505="","",T505)</f>
        <v/>
      </c>
      <c r="BG505" s="1630"/>
      <c r="BH505" s="1630"/>
      <c r="BI505" s="1641">
        <v>0</v>
      </c>
    </row>
    <row customHeight="1" ht="14.25">
      <c r="A506" s="1369"/>
      <c r="B506" s="1369"/>
      <c r="C506" s="1369"/>
      <c r="D506" s="1369"/>
      <c r="E506" s="2265"/>
      <c r="F506" s="2265"/>
      <c r="G506" s="2265"/>
      <c r="H506" s="2265"/>
      <c r="I506" s="2292"/>
      <c r="J506" s="2292"/>
      <c r="K506" s="2262"/>
      <c r="L506" s="1375"/>
      <c r="M506" s="1782"/>
      <c r="N506" s="1782"/>
      <c r="O506" s="1782"/>
      <c r="P506" s="2380"/>
      <c r="Q506" s="2380"/>
      <c r="R506" s="2353"/>
      <c r="S506" s="2348"/>
      <c r="T506" s="2367"/>
      <c r="U506" s="306"/>
      <c r="V506" s="7380"/>
      <c r="W506" s="7381"/>
      <c r="X506" s="7380"/>
      <c r="Y506" s="7381"/>
      <c r="Z506" s="7380"/>
      <c r="AA506" s="7380"/>
      <c r="AB506" s="7380"/>
      <c r="AC506" s="7380"/>
      <c r="AD506" s="2192"/>
      <c r="AE506" s="2332"/>
      <c r="AF506" s="2443"/>
      <c r="AG506" s="2369"/>
      <c r="AH506" s="2113"/>
      <c r="AI506" s="2332"/>
      <c r="AJ506" s="2443" t="s">
        <v>91</v>
      </c>
      <c r="AK506" s="2333"/>
      <c r="AL506" s="2113"/>
      <c r="AM506" s="2301"/>
      <c r="AN506" s="2443"/>
      <c r="AO506" s="3340" t="s">
        <v>28</v>
      </c>
      <c r="AP506" s="2365"/>
      <c r="AQ506" s="7382"/>
      <c r="AR506" s="7383"/>
      <c r="AS506" s="7402" t="s">
        <v>515</v>
      </c>
      <c r="AT506" s="7380"/>
      <c r="AU506" s="7381"/>
      <c r="AV506" s="7380"/>
      <c r="AW506" s="7381"/>
      <c r="AX506" s="7380"/>
      <c r="AY506" s="7380"/>
      <c r="AZ506" s="7380"/>
      <c r="BA506" s="7380"/>
      <c r="BB506" s="7385"/>
      <c r="BC506" s="2260"/>
      <c r="BD506" s="1648"/>
      <c r="BE506" s="1630"/>
      <c r="BF506" s="1630"/>
      <c r="BG506" s="1630"/>
      <c r="BH506" s="1630"/>
      <c r="BI506" s="1641">
        <v>0</v>
      </c>
    </row>
    <row customHeight="1" ht="14.25">
      <c r="A507" s="1369"/>
      <c r="B507" s="1369"/>
      <c r="C507" s="1369"/>
      <c r="D507" s="1369"/>
      <c r="E507" s="2265"/>
      <c r="F507" s="2265"/>
      <c r="G507" s="2265"/>
      <c r="H507" s="2265"/>
      <c r="I507" s="2292"/>
      <c r="J507" s="2292"/>
      <c r="K507" s="2262"/>
      <c r="L507" s="1375"/>
      <c r="M507" s="1782"/>
      <c r="N507" s="1782"/>
      <c r="O507" s="1782"/>
      <c r="P507" s="2380"/>
      <c r="Q507" s="2380"/>
      <c r="R507" s="2353"/>
      <c r="S507" s="2348"/>
      <c r="T507" s="2367"/>
      <c r="U507" s="306"/>
      <c r="V507" s="7380"/>
      <c r="W507" s="7381"/>
      <c r="X507" s="7380"/>
      <c r="Y507" s="7381"/>
      <c r="Z507" s="7380"/>
      <c r="AA507" s="7380"/>
      <c r="AB507" s="7380"/>
      <c r="AC507" s="7380"/>
      <c r="AD507" s="2192"/>
      <c r="AE507" s="2332"/>
      <c r="AF507" s="2443"/>
      <c r="AG507" s="2369"/>
      <c r="AH507" s="2113"/>
      <c r="AI507" s="2332"/>
      <c r="AJ507" s="2443" t="s">
        <v>91</v>
      </c>
      <c r="AK507" s="2333"/>
      <c r="AL507" s="2113"/>
      <c r="AM507" s="7382"/>
      <c r="AN507" s="7386"/>
      <c r="AO507" s="7403" t="s">
        <v>516</v>
      </c>
      <c r="AP507" s="7383"/>
      <c r="AQ507" s="7383"/>
      <c r="AR507" s="7383"/>
      <c r="AS507" s="7380"/>
      <c r="AT507" s="7380"/>
      <c r="AU507" s="7381"/>
      <c r="AV507" s="7380"/>
      <c r="AW507" s="7381"/>
      <c r="AX507" s="7380"/>
      <c r="AY507" s="7380"/>
      <c r="AZ507" s="7380"/>
      <c r="BA507" s="7380"/>
      <c r="BB507" s="7385"/>
      <c r="BC507" s="2260"/>
      <c r="BD507" s="1648"/>
      <c r="BE507" s="1630"/>
      <c r="BF507" s="1630"/>
      <c r="BG507" s="1630"/>
      <c r="BH507" s="1630"/>
      <c r="BI507" s="1641">
        <v>0</v>
      </c>
    </row>
    <row customHeight="1" ht="14.25">
      <c r="A508" s="1369"/>
      <c r="B508" s="1369"/>
      <c r="C508" s="1369"/>
      <c r="D508" s="1369"/>
      <c r="E508" s="2265"/>
      <c r="F508" s="2265"/>
      <c r="G508" s="2265"/>
      <c r="H508" s="2265"/>
      <c r="I508" s="2292"/>
      <c r="J508" s="2292"/>
      <c r="K508" s="2262" t="str">
        <f>S501&amp;".1"</f>
        <v>.1</v>
      </c>
      <c r="L508" s="1375"/>
      <c r="M508" s="1782"/>
      <c r="N508" s="1782"/>
      <c r="O508" s="1782"/>
      <c r="P508" s="2380"/>
      <c r="Q508" s="2380"/>
      <c r="R508" s="2353">
        <v>1</v>
      </c>
      <c r="S508" s="2347" t="str">
        <f>$K508</f>
        <v>.1</v>
      </c>
      <c r="T508" s="2366"/>
      <c r="U508" s="306"/>
      <c r="V508" s="757"/>
      <c r="W508" s="1263"/>
      <c r="X508" s="757"/>
      <c r="Y508" s="1263"/>
      <c r="Z508" s="2608"/>
      <c r="AA508" s="2113" t="s">
        <v>62</v>
      </c>
      <c r="AB508" s="2608"/>
      <c r="AC508" s="2113" t="s">
        <v>62</v>
      </c>
      <c r="AD508" s="2191" t="s">
        <v>62</v>
      </c>
      <c r="AE508" s="2332"/>
      <c r="AF508" s="2443">
        <v>1</v>
      </c>
      <c r="AG508" s="2369"/>
      <c r="AH508" s="2113" t="s">
        <v>62</v>
      </c>
      <c r="AI508" s="689" t="s">
        <v>253</v>
      </c>
      <c r="AJ508" s="2443" t="s">
        <v>113</v>
      </c>
      <c r="AK508" s="2333" t="s">
        <v>536</v>
      </c>
      <c r="AL508" s="2113" t="s">
        <v>19</v>
      </c>
      <c r="AM508" s="2300"/>
      <c r="AN508" s="2443">
        <v>1</v>
      </c>
      <c r="AO508" s="3340" t="s">
        <v>28</v>
      </c>
      <c r="AP508" s="2364" t="s">
        <v>62</v>
      </c>
      <c r="AQ508" s="317"/>
      <c r="AR508" s="2443">
        <v>1</v>
      </c>
      <c r="AS508" s="2582" t="s">
        <v>541</v>
      </c>
      <c r="AT508" s="757"/>
      <c r="AU508" s="1263"/>
      <c r="AV508" s="757"/>
      <c r="AW508" s="1263">
        <v>14495.42</v>
      </c>
      <c r="AX508" s="2608">
        <v>46023.383877314816</v>
      </c>
      <c r="AY508" s="2113" t="s">
        <v>62</v>
      </c>
      <c r="AZ508" s="2608">
        <v>46387.394525462965</v>
      </c>
      <c r="BA508" s="2113" t="s">
        <v>62</v>
      </c>
      <c r="BB508" s="1354"/>
      <c r="BC508" s="2259" t="s">
        <v>514</v>
      </c>
      <c r="BD508" s="1648"/>
      <c r="BE508" s="1630"/>
      <c r="BF508" s="1630" t="str">
        <f>IF(T508="","",T508)</f>
        <v/>
      </c>
      <c r="BG508" s="1630"/>
      <c r="BH508" s="1630"/>
      <c r="BI508" s="1641">
        <v>0</v>
      </c>
    </row>
    <row customHeight="1" ht="14.25">
      <c r="A509" s="1369"/>
      <c r="B509" s="1369"/>
      <c r="C509" s="1369"/>
      <c r="D509" s="1369"/>
      <c r="E509" s="2265"/>
      <c r="F509" s="2265"/>
      <c r="G509" s="2265"/>
      <c r="H509" s="2265"/>
      <c r="I509" s="2292"/>
      <c r="J509" s="2292"/>
      <c r="K509" s="2262" t="str">
        <f>S503&amp;".1"</f>
        <v>.1.1.1.1.1</v>
      </c>
      <c r="L509" s="1375"/>
      <c r="M509" s="1782"/>
      <c r="N509" s="1782"/>
      <c r="O509" s="1782"/>
      <c r="P509" s="2380"/>
      <c r="Q509" s="2380"/>
      <c r="R509" s="2353">
        <v>1</v>
      </c>
      <c r="S509" s="2347" t="str">
        <f>$K509</f>
        <v>.1.1.1.1.1</v>
      </c>
      <c r="T509" s="2366"/>
      <c r="U509" s="306"/>
      <c r="V509" s="757"/>
      <c r="W509" s="1263"/>
      <c r="X509" s="757"/>
      <c r="Y509" s="1263"/>
      <c r="Z509" s="2608"/>
      <c r="AA509" s="2113" t="s">
        <v>62</v>
      </c>
      <c r="AB509" s="2608"/>
      <c r="AC509" s="2113" t="s">
        <v>62</v>
      </c>
      <c r="AD509" s="2191" t="s">
        <v>62</v>
      </c>
      <c r="AE509" s="2332"/>
      <c r="AF509" s="2443">
        <v>1</v>
      </c>
      <c r="AG509" s="2369"/>
      <c r="AH509" s="2113" t="s">
        <v>62</v>
      </c>
      <c r="AI509" s="2332"/>
      <c r="AJ509" s="2443">
        <v>1</v>
      </c>
      <c r="AK509" s="2333" t="s">
        <v>28</v>
      </c>
      <c r="AL509" s="2113" t="s">
        <v>62</v>
      </c>
      <c r="AM509" s="2300"/>
      <c r="AN509" s="2443">
        <v>1</v>
      </c>
      <c r="AO509" s="2363"/>
      <c r="AP509" s="2364" t="s">
        <v>62</v>
      </c>
      <c r="AQ509" s="689" t="s">
        <v>253</v>
      </c>
      <c r="AR509" s="2443" t="s">
        <v>112</v>
      </c>
      <c r="AS509" s="2582" t="s">
        <v>541</v>
      </c>
      <c r="AT509" s="757"/>
      <c r="AU509" s="1263"/>
      <c r="AV509" s="757"/>
      <c r="AW509" s="1263">
        <v>17393.88</v>
      </c>
      <c r="AX509" s="2608">
        <v>46023.38391203704</v>
      </c>
      <c r="AY509" s="2113" t="s">
        <v>62</v>
      </c>
      <c r="AZ509" s="2608">
        <v>46387.394583333335</v>
      </c>
      <c r="BA509" s="2113" t="s">
        <v>62</v>
      </c>
      <c r="BB509" s="1354"/>
      <c r="BC509" s="2259" t="s">
        <v>514</v>
      </c>
      <c r="BD509" s="1648"/>
      <c r="BE509" s="1630"/>
      <c r="BF509" s="1630" t="str">
        <f>IF(T509="","",T509)</f>
        <v/>
      </c>
      <c r="BG509" s="1630"/>
      <c r="BH509" s="1630"/>
      <c r="BI509" s="1641">
        <v>0</v>
      </c>
    </row>
    <row customHeight="1" ht="14.25">
      <c r="A510" s="1369"/>
      <c r="B510" s="1369"/>
      <c r="C510" s="1369"/>
      <c r="D510" s="1369"/>
      <c r="E510" s="2265"/>
      <c r="F510" s="2265"/>
      <c r="G510" s="2265"/>
      <c r="H510" s="2265"/>
      <c r="I510" s="2292"/>
      <c r="J510" s="2292"/>
      <c r="K510" s="2262"/>
      <c r="L510" s="1375"/>
      <c r="M510" s="1782"/>
      <c r="N510" s="1782"/>
      <c r="O510" s="1782"/>
      <c r="P510" s="2380"/>
      <c r="Q510" s="2380"/>
      <c r="R510" s="2353"/>
      <c r="S510" s="2348"/>
      <c r="T510" s="2367"/>
      <c r="U510" s="306"/>
      <c r="V510" s="7380"/>
      <c r="W510" s="7381"/>
      <c r="X510" s="7380"/>
      <c r="Y510" s="7381"/>
      <c r="Z510" s="7380"/>
      <c r="AA510" s="7380"/>
      <c r="AB510" s="7380"/>
      <c r="AC510" s="7380"/>
      <c r="AD510" s="2192"/>
      <c r="AE510" s="2332"/>
      <c r="AF510" s="2443"/>
      <c r="AG510" s="2369"/>
      <c r="AH510" s="2113"/>
      <c r="AI510" s="2332"/>
      <c r="AJ510" s="2443" t="s">
        <v>92</v>
      </c>
      <c r="AK510" s="2333"/>
      <c r="AL510" s="2113"/>
      <c r="AM510" s="2301"/>
      <c r="AN510" s="2443"/>
      <c r="AO510" s="3340" t="s">
        <v>28</v>
      </c>
      <c r="AP510" s="2365"/>
      <c r="AQ510" s="7382"/>
      <c r="AR510" s="7383"/>
      <c r="AS510" s="7404" t="s">
        <v>515</v>
      </c>
      <c r="AT510" s="7380"/>
      <c r="AU510" s="7381"/>
      <c r="AV510" s="7380"/>
      <c r="AW510" s="7381"/>
      <c r="AX510" s="7380"/>
      <c r="AY510" s="7380"/>
      <c r="AZ510" s="7380"/>
      <c r="BA510" s="7380"/>
      <c r="BB510" s="7385"/>
      <c r="BC510" s="2260"/>
      <c r="BD510" s="1648"/>
      <c r="BE510" s="1630"/>
      <c r="BF510" s="1630"/>
      <c r="BG510" s="1630"/>
      <c r="BH510" s="1630"/>
      <c r="BI510" s="1641">
        <v>0</v>
      </c>
    </row>
    <row customHeight="1" ht="14.25">
      <c r="A511" s="1369"/>
      <c r="B511" s="1369"/>
      <c r="C511" s="1369"/>
      <c r="D511" s="1369"/>
      <c r="E511" s="2265"/>
      <c r="F511" s="2265"/>
      <c r="G511" s="2265"/>
      <c r="H511" s="2265"/>
      <c r="I511" s="2292"/>
      <c r="J511" s="2292"/>
      <c r="K511" s="2262"/>
      <c r="L511" s="1375"/>
      <c r="M511" s="1782"/>
      <c r="N511" s="1782"/>
      <c r="O511" s="1782"/>
      <c r="P511" s="2380"/>
      <c r="Q511" s="2380"/>
      <c r="R511" s="2353"/>
      <c r="S511" s="2348"/>
      <c r="T511" s="2367"/>
      <c r="U511" s="306"/>
      <c r="V511" s="7380"/>
      <c r="W511" s="7381"/>
      <c r="X511" s="7380"/>
      <c r="Y511" s="7381"/>
      <c r="Z511" s="7380"/>
      <c r="AA511" s="7380"/>
      <c r="AB511" s="7380"/>
      <c r="AC511" s="7380"/>
      <c r="AD511" s="2192"/>
      <c r="AE511" s="2332"/>
      <c r="AF511" s="2443"/>
      <c r="AG511" s="2369"/>
      <c r="AH511" s="2113"/>
      <c r="AI511" s="2332"/>
      <c r="AJ511" s="2443" t="s">
        <v>92</v>
      </c>
      <c r="AK511" s="2333"/>
      <c r="AL511" s="2113"/>
      <c r="AM511" s="7382"/>
      <c r="AN511" s="7386"/>
      <c r="AO511" s="7405" t="s">
        <v>516</v>
      </c>
      <c r="AP511" s="7383"/>
      <c r="AQ511" s="7383"/>
      <c r="AR511" s="7383"/>
      <c r="AS511" s="7380"/>
      <c r="AT511" s="7380"/>
      <c r="AU511" s="7381"/>
      <c r="AV511" s="7380"/>
      <c r="AW511" s="7381"/>
      <c r="AX511" s="7380"/>
      <c r="AY511" s="7380"/>
      <c r="AZ511" s="7380"/>
      <c r="BA511" s="7380"/>
      <c r="BB511" s="7385"/>
      <c r="BC511" s="2260"/>
      <c r="BD511" s="1648"/>
      <c r="BE511" s="1630"/>
      <c r="BF511" s="1630"/>
      <c r="BG511" s="1630"/>
      <c r="BH511" s="1630"/>
      <c r="BI511" s="1641">
        <v>0</v>
      </c>
    </row>
    <row customHeight="1" ht="14.25">
      <c r="A512" s="1369"/>
      <c r="B512" s="1369"/>
      <c r="C512" s="1369"/>
      <c r="D512" s="1369"/>
      <c r="E512" s="2265"/>
      <c r="F512" s="2265"/>
      <c r="G512" s="2265"/>
      <c r="H512" s="2265"/>
      <c r="I512" s="2292"/>
      <c r="J512" s="2292"/>
      <c r="K512" s="2262" t="str">
        <f>S507&amp;".1"</f>
        <v>.1</v>
      </c>
      <c r="L512" s="1375"/>
      <c r="M512" s="1782"/>
      <c r="N512" s="1782"/>
      <c r="O512" s="1782"/>
      <c r="P512" s="2380"/>
      <c r="Q512" s="2380"/>
      <c r="R512" s="2353">
        <v>1</v>
      </c>
      <c r="S512" s="2347" t="str">
        <f>$K512</f>
        <v>.1</v>
      </c>
      <c r="T512" s="2366"/>
      <c r="U512" s="306"/>
      <c r="V512" s="757"/>
      <c r="W512" s="1263"/>
      <c r="X512" s="757"/>
      <c r="Y512" s="1263"/>
      <c r="Z512" s="2608"/>
      <c r="AA512" s="2113" t="s">
        <v>62</v>
      </c>
      <c r="AB512" s="2608"/>
      <c r="AC512" s="2113" t="s">
        <v>62</v>
      </c>
      <c r="AD512" s="2191" t="s">
        <v>62</v>
      </c>
      <c r="AE512" s="2332"/>
      <c r="AF512" s="2443">
        <v>1</v>
      </c>
      <c r="AG512" s="2369"/>
      <c r="AH512" s="2113" t="s">
        <v>62</v>
      </c>
      <c r="AI512" s="689" t="s">
        <v>253</v>
      </c>
      <c r="AJ512" s="2443" t="s">
        <v>93</v>
      </c>
      <c r="AK512" s="2333" t="s">
        <v>537</v>
      </c>
      <c r="AL512" s="2113" t="s">
        <v>19</v>
      </c>
      <c r="AM512" s="2300"/>
      <c r="AN512" s="2443">
        <v>1</v>
      </c>
      <c r="AO512" s="3340" t="s">
        <v>28</v>
      </c>
      <c r="AP512" s="2364" t="s">
        <v>62</v>
      </c>
      <c r="AQ512" s="317"/>
      <c r="AR512" s="2443">
        <v>1</v>
      </c>
      <c r="AS512" s="2582" t="s">
        <v>541</v>
      </c>
      <c r="AT512" s="757"/>
      <c r="AU512" s="1263"/>
      <c r="AV512" s="757"/>
      <c r="AW512" s="1263">
        <v>17216.09</v>
      </c>
      <c r="AX512" s="2608">
        <v>46023.38394675926</v>
      </c>
      <c r="AY512" s="2113" t="s">
        <v>62</v>
      </c>
      <c r="AZ512" s="2608">
        <v>46387.39465277778</v>
      </c>
      <c r="BA512" s="2113" t="s">
        <v>62</v>
      </c>
      <c r="BB512" s="1354"/>
      <c r="BC512" s="2259" t="s">
        <v>514</v>
      </c>
      <c r="BD512" s="1648"/>
      <c r="BE512" s="1630"/>
      <c r="BF512" s="1630" t="str">
        <f>IF(T512="","",T512)</f>
        <v/>
      </c>
      <c r="BG512" s="1630"/>
      <c r="BH512" s="1630"/>
      <c r="BI512" s="1641">
        <v>0</v>
      </c>
    </row>
    <row customHeight="1" ht="14.25">
      <c r="A513" s="1369"/>
      <c r="B513" s="1369"/>
      <c r="C513" s="1369"/>
      <c r="D513" s="1369"/>
      <c r="E513" s="2265"/>
      <c r="F513" s="2265"/>
      <c r="G513" s="2265"/>
      <c r="H513" s="2265"/>
      <c r="I513" s="2292"/>
      <c r="J513" s="2292"/>
      <c r="K513" s="2262" t="str">
        <f>S509&amp;".1"</f>
        <v>.1.1.1.1.1.1</v>
      </c>
      <c r="L513" s="1375"/>
      <c r="M513" s="1782"/>
      <c r="N513" s="1782"/>
      <c r="O513" s="1782"/>
      <c r="P513" s="2380"/>
      <c r="Q513" s="2380"/>
      <c r="R513" s="2353">
        <v>1</v>
      </c>
      <c r="S513" s="2347" t="str">
        <f>$K513</f>
        <v>.1.1.1.1.1.1</v>
      </c>
      <c r="T513" s="2366"/>
      <c r="U513" s="306"/>
      <c r="V513" s="757"/>
      <c r="W513" s="1263"/>
      <c r="X513" s="757"/>
      <c r="Y513" s="1263"/>
      <c r="Z513" s="2608"/>
      <c r="AA513" s="2113" t="s">
        <v>62</v>
      </c>
      <c r="AB513" s="2608"/>
      <c r="AC513" s="2113" t="s">
        <v>62</v>
      </c>
      <c r="AD513" s="2191" t="s">
        <v>62</v>
      </c>
      <c r="AE513" s="2332"/>
      <c r="AF513" s="2443">
        <v>1</v>
      </c>
      <c r="AG513" s="2369"/>
      <c r="AH513" s="2113" t="s">
        <v>62</v>
      </c>
      <c r="AI513" s="2332"/>
      <c r="AJ513" s="2443">
        <v>1</v>
      </c>
      <c r="AK513" s="2333" t="s">
        <v>28</v>
      </c>
      <c r="AL513" s="2113" t="s">
        <v>62</v>
      </c>
      <c r="AM513" s="2300"/>
      <c r="AN513" s="2443">
        <v>1</v>
      </c>
      <c r="AO513" s="2363"/>
      <c r="AP513" s="2364" t="s">
        <v>62</v>
      </c>
      <c r="AQ513" s="689" t="s">
        <v>253</v>
      </c>
      <c r="AR513" s="2443" t="s">
        <v>112</v>
      </c>
      <c r="AS513" s="2582" t="s">
        <v>541</v>
      </c>
      <c r="AT513" s="757"/>
      <c r="AU513" s="1263"/>
      <c r="AV513" s="757"/>
      <c r="AW513" s="1263">
        <v>20227.95</v>
      </c>
      <c r="AX513" s="2608">
        <v>46023.383993055555</v>
      </c>
      <c r="AY513" s="2113" t="s">
        <v>62</v>
      </c>
      <c r="AZ513" s="2608">
        <v>46387.39475694444</v>
      </c>
      <c r="BA513" s="2113" t="s">
        <v>62</v>
      </c>
      <c r="BB513" s="1354"/>
      <c r="BC513" s="2259" t="s">
        <v>514</v>
      </c>
      <c r="BD513" s="1648"/>
      <c r="BE513" s="1630"/>
      <c r="BF513" s="1630" t="str">
        <f>IF(T513="","",T513)</f>
        <v/>
      </c>
      <c r="BG513" s="1630"/>
      <c r="BH513" s="1630"/>
      <c r="BI513" s="1641">
        <v>0</v>
      </c>
    </row>
    <row customHeight="1" ht="14.25">
      <c r="A514" s="1369"/>
      <c r="B514" s="1369"/>
      <c r="C514" s="1369"/>
      <c r="D514" s="1369"/>
      <c r="E514" s="2265"/>
      <c r="F514" s="2265"/>
      <c r="G514" s="2265"/>
      <c r="H514" s="2265"/>
      <c r="I514" s="2292"/>
      <c r="J514" s="2292"/>
      <c r="K514" s="2262"/>
      <c r="L514" s="1375"/>
      <c r="M514" s="1782"/>
      <c r="N514" s="1782"/>
      <c r="O514" s="1782"/>
      <c r="P514" s="2380"/>
      <c r="Q514" s="2380"/>
      <c r="R514" s="2353"/>
      <c r="S514" s="2348"/>
      <c r="T514" s="2367"/>
      <c r="U514" s="306"/>
      <c r="V514" s="7380"/>
      <c r="W514" s="7381"/>
      <c r="X514" s="7380"/>
      <c r="Y514" s="7381"/>
      <c r="Z514" s="7380"/>
      <c r="AA514" s="7380"/>
      <c r="AB514" s="7380"/>
      <c r="AC514" s="7380"/>
      <c r="AD514" s="2192"/>
      <c r="AE514" s="2332"/>
      <c r="AF514" s="2443"/>
      <c r="AG514" s="2369"/>
      <c r="AH514" s="2113"/>
      <c r="AI514" s="2332"/>
      <c r="AJ514" s="2443" t="s">
        <v>113</v>
      </c>
      <c r="AK514" s="2333"/>
      <c r="AL514" s="2113"/>
      <c r="AM514" s="2301"/>
      <c r="AN514" s="2443"/>
      <c r="AO514" s="3340" t="s">
        <v>28</v>
      </c>
      <c r="AP514" s="2365"/>
      <c r="AQ514" s="7382"/>
      <c r="AR514" s="7383"/>
      <c r="AS514" s="7406" t="s">
        <v>515</v>
      </c>
      <c r="AT514" s="7380"/>
      <c r="AU514" s="7381"/>
      <c r="AV514" s="7380"/>
      <c r="AW514" s="7381"/>
      <c r="AX514" s="7380"/>
      <c r="AY514" s="7380"/>
      <c r="AZ514" s="7380"/>
      <c r="BA514" s="7380"/>
      <c r="BB514" s="7385"/>
      <c r="BC514" s="2260"/>
      <c r="BD514" s="1648"/>
      <c r="BE514" s="1630"/>
      <c r="BF514" s="1630"/>
      <c r="BG514" s="1630"/>
      <c r="BH514" s="1630"/>
      <c r="BI514" s="1641">
        <v>0</v>
      </c>
    </row>
    <row customHeight="1" ht="14.25">
      <c r="A515" s="1369"/>
      <c r="B515" s="1369"/>
      <c r="C515" s="1369"/>
      <c r="D515" s="1369"/>
      <c r="E515" s="2265"/>
      <c r="F515" s="2265"/>
      <c r="G515" s="2265"/>
      <c r="H515" s="2265"/>
      <c r="I515" s="2292"/>
      <c r="J515" s="2292"/>
      <c r="K515" s="2262"/>
      <c r="L515" s="1375"/>
      <c r="M515" s="1782"/>
      <c r="N515" s="1782"/>
      <c r="O515" s="1782"/>
      <c r="P515" s="2380"/>
      <c r="Q515" s="2380"/>
      <c r="R515" s="2353"/>
      <c r="S515" s="2348"/>
      <c r="T515" s="2367"/>
      <c r="U515" s="306"/>
      <c r="V515" s="7380"/>
      <c r="W515" s="7381"/>
      <c r="X515" s="7380"/>
      <c r="Y515" s="7381"/>
      <c r="Z515" s="7380"/>
      <c r="AA515" s="7380"/>
      <c r="AB515" s="7380"/>
      <c r="AC515" s="7380"/>
      <c r="AD515" s="2192"/>
      <c r="AE515" s="2332"/>
      <c r="AF515" s="2443"/>
      <c r="AG515" s="2369"/>
      <c r="AH515" s="2113"/>
      <c r="AI515" s="2332"/>
      <c r="AJ515" s="2443" t="s">
        <v>113</v>
      </c>
      <c r="AK515" s="2333"/>
      <c r="AL515" s="2113"/>
      <c r="AM515" s="7382"/>
      <c r="AN515" s="7386"/>
      <c r="AO515" s="7407" t="s">
        <v>516</v>
      </c>
      <c r="AP515" s="7383"/>
      <c r="AQ515" s="7383"/>
      <c r="AR515" s="7383"/>
      <c r="AS515" s="7380"/>
      <c r="AT515" s="7380"/>
      <c r="AU515" s="7381"/>
      <c r="AV515" s="7380"/>
      <c r="AW515" s="7381"/>
      <c r="AX515" s="7380"/>
      <c r="AY515" s="7380"/>
      <c r="AZ515" s="7380"/>
      <c r="BA515" s="7380"/>
      <c r="BB515" s="7385"/>
      <c r="BC515" s="2260"/>
      <c r="BD515" s="1648"/>
      <c r="BE515" s="1630"/>
      <c r="BF515" s="1630"/>
      <c r="BG515" s="1630"/>
      <c r="BH515" s="1630"/>
      <c r="BI515" s="1641">
        <v>0</v>
      </c>
    </row>
    <row customHeight="1" ht="14.25">
      <c r="A516" s="1369"/>
      <c r="B516" s="1369"/>
      <c r="C516" s="1369"/>
      <c r="D516" s="1369"/>
      <c r="E516" s="2265"/>
      <c r="F516" s="2265"/>
      <c r="G516" s="2265"/>
      <c r="H516" s="2265"/>
      <c r="I516" s="2292"/>
      <c r="J516" s="2292"/>
      <c r="K516" s="2262" t="str">
        <f>S450&amp;".1"</f>
        <v>3.1.1.1</v>
      </c>
      <c r="L516" s="1375"/>
      <c r="M516" s="1782"/>
      <c r="N516" s="1782"/>
      <c r="O516" s="1782"/>
      <c r="P516" s="2380"/>
      <c r="Q516" s="2380"/>
      <c r="R516" s="2353"/>
      <c r="S516" s="2348"/>
      <c r="T516" s="2367"/>
      <c r="U516" s="306"/>
      <c r="V516" s="7380"/>
      <c r="W516" s="7381"/>
      <c r="X516" s="7380"/>
      <c r="Y516" s="7381"/>
      <c r="Z516" s="7380"/>
      <c r="AA516" s="7380"/>
      <c r="AB516" s="7380"/>
      <c r="AC516" s="7380"/>
      <c r="AD516" s="2192"/>
      <c r="AE516" s="2332"/>
      <c r="AF516" s="2443"/>
      <c r="AG516" s="3339" t="s">
        <v>28</v>
      </c>
      <c r="AH516" s="2113"/>
      <c r="AI516" s="7408"/>
      <c r="AJ516" s="7409"/>
      <c r="AK516" s="7410" t="s">
        <v>517</v>
      </c>
      <c r="AL516" s="7380"/>
      <c r="AM516" s="7380"/>
      <c r="AN516" s="7380"/>
      <c r="AO516" s="7380"/>
      <c r="AP516" s="7380"/>
      <c r="AQ516" s="7380"/>
      <c r="AR516" s="7380"/>
      <c r="AS516" s="7380"/>
      <c r="AT516" s="7380"/>
      <c r="AU516" s="7381"/>
      <c r="AV516" s="7380"/>
      <c r="AW516" s="7381"/>
      <c r="AX516" s="7380"/>
      <c r="AY516" s="7380"/>
      <c r="AZ516" s="7380"/>
      <c r="BA516" s="7380"/>
      <c r="BB516" s="7385"/>
      <c r="BC516" s="2260"/>
      <c r="BD516" s="1648"/>
      <c r="BE516" s="1630"/>
      <c r="BF516" s="1630"/>
      <c r="BG516" s="1630"/>
      <c r="BH516" s="1630"/>
      <c r="BI516" s="1641">
        <v>0</v>
      </c>
    </row>
    <row customHeight="1" ht="14.25">
      <c r="A517" s="1369"/>
      <c r="B517" s="1369"/>
      <c r="C517" s="1369"/>
      <c r="D517" s="1369"/>
      <c r="E517" s="2265"/>
      <c r="F517" s="2265"/>
      <c r="G517" s="2265"/>
      <c r="H517" s="2265"/>
      <c r="I517" s="2292"/>
      <c r="J517" s="2292"/>
      <c r="K517" s="2262" t="str">
        <f>S450&amp;".1"</f>
        <v>3.1.1.1</v>
      </c>
      <c r="L517" s="1375"/>
      <c r="M517" s="1782"/>
      <c r="N517" s="1782"/>
      <c r="O517" s="1782"/>
      <c r="P517" s="2380"/>
      <c r="Q517" s="2380"/>
      <c r="R517" s="2353"/>
      <c r="S517" s="2349"/>
      <c r="T517" s="2368"/>
      <c r="U517" s="306"/>
      <c r="V517" s="7380"/>
      <c r="W517" s="7411" t="str">
        <f>Z486&amp;"-"&amp;AB486</f>
        <v>-</v>
      </c>
      <c r="X517" s="7380"/>
      <c r="Y517" s="7412" t="str">
        <f>AB486&amp;"-"&amp;AD486</f>
        <v>-нет</v>
      </c>
      <c r="Z517" s="7380"/>
      <c r="AA517" s="7380"/>
      <c r="AB517" s="7380"/>
      <c r="AC517" s="7380"/>
      <c r="AD517" s="2118"/>
      <c r="AE517" s="7413"/>
      <c r="AF517" s="7414"/>
      <c r="AG517" s="7415" t="s">
        <v>518</v>
      </c>
      <c r="AH517" s="7380"/>
      <c r="AI517" s="7380"/>
      <c r="AJ517" s="7380"/>
      <c r="AK517" s="7380"/>
      <c r="AL517" s="7380"/>
      <c r="AM517" s="7380"/>
      <c r="AN517" s="7380"/>
      <c r="AO517" s="7380"/>
      <c r="AP517" s="7380"/>
      <c r="AQ517" s="7380"/>
      <c r="AR517" s="7380"/>
      <c r="AS517" s="7380"/>
      <c r="AT517" s="7380"/>
      <c r="AU517" s="7416" t="str">
        <f>AX486&amp;"-"&amp;AZ486</f>
        <v>46023.38337962963-46387.39334490741</v>
      </c>
      <c r="AV517" s="7380"/>
      <c r="AW517" s="7417" t="str">
        <f>AZ486&amp;"-"&amp;BB486</f>
        <v>46387.39334490741-</v>
      </c>
      <c r="AX517" s="7380"/>
      <c r="AY517" s="7380"/>
      <c r="AZ517" s="7380"/>
      <c r="BA517" s="7380"/>
      <c r="BB517" s="7418" t="str">
        <f>BE486&amp;"-"&amp;BG486</f>
        <v>-</v>
      </c>
      <c r="BC517" s="2260"/>
      <c r="BD517" s="1648"/>
      <c r="BE517" s="1630"/>
      <c r="BF517" s="1630" t="str">
        <f>IF(T517="","",T517)</f>
        <v/>
      </c>
      <c r="BG517" s="1630"/>
      <c r="BH517" s="1630"/>
      <c r="BI517" s="1641">
        <v>0</v>
      </c>
    </row>
    <row customHeight="1" ht="14.25">
      <c r="A518" s="1369"/>
      <c r="B518" s="1369"/>
      <c r="C518" s="1369"/>
      <c r="D518" s="1369"/>
      <c r="E518" s="2265"/>
      <c r="F518" s="2265"/>
      <c r="G518" s="2265"/>
      <c r="H518" s="2265"/>
      <c r="I518" s="2292"/>
      <c r="J518" s="2292"/>
      <c r="K518" s="2262" t="str">
        <f>S450&amp;".3"</f>
        <v>3.1.1.3</v>
      </c>
      <c r="L518" s="1375"/>
      <c r="M518" s="1782"/>
      <c r="N518" s="1782"/>
      <c r="O518" s="1782"/>
      <c r="P518" s="2380"/>
      <c r="Q518" s="2380"/>
      <c r="R518" s="689" t="s">
        <v>253</v>
      </c>
      <c r="S518" s="2347" t="str">
        <f>$K518</f>
        <v>3.1.1.3</v>
      </c>
      <c r="T518" s="2366" t="s">
        <v>539</v>
      </c>
      <c r="U518" s="306"/>
      <c r="V518" s="757"/>
      <c r="W518" s="1263"/>
      <c r="X518" s="757"/>
      <c r="Y518" s="1263"/>
      <c r="Z518" s="2608"/>
      <c r="AA518" s="2113" t="s">
        <v>62</v>
      </c>
      <c r="AB518" s="2608"/>
      <c r="AC518" s="2113" t="s">
        <v>62</v>
      </c>
      <c r="AD518" s="2191" t="s">
        <v>19</v>
      </c>
      <c r="AE518" s="2332"/>
      <c r="AF518" s="2443">
        <v>1</v>
      </c>
      <c r="AG518" s="3339" t="s">
        <v>28</v>
      </c>
      <c r="AH518" s="2113" t="s">
        <v>62</v>
      </c>
      <c r="AI518" s="2332"/>
      <c r="AJ518" s="2443">
        <v>1</v>
      </c>
      <c r="AK518" s="2333" t="s">
        <v>532</v>
      </c>
      <c r="AL518" s="2113" t="s">
        <v>19</v>
      </c>
      <c r="AM518" s="2300"/>
      <c r="AN518" s="2443">
        <v>1</v>
      </c>
      <c r="AO518" s="3340" t="s">
        <v>28</v>
      </c>
      <c r="AP518" s="2364" t="s">
        <v>62</v>
      </c>
      <c r="AQ518" s="317"/>
      <c r="AR518" s="2443">
        <v>1</v>
      </c>
      <c r="AS518" s="2582" t="s">
        <v>541</v>
      </c>
      <c r="AT518" s="757"/>
      <c r="AU518" s="1263"/>
      <c r="AV518" s="757"/>
      <c r="AW518" s="1263">
        <v>2815.34</v>
      </c>
      <c r="AX518" s="2608">
        <v>46023.38402777778</v>
      </c>
      <c r="AY518" s="2113" t="s">
        <v>62</v>
      </c>
      <c r="AZ518" s="2608">
        <v>46387.39482638889</v>
      </c>
      <c r="BA518" s="2113" t="s">
        <v>62</v>
      </c>
      <c r="BB518" s="1354"/>
      <c r="BC518" s="2259" t="s">
        <v>514</v>
      </c>
      <c r="BD518" s="1648"/>
      <c r="BE518" s="1630"/>
      <c r="BF518" s="1630" t="str">
        <f>IF(T518="","",T518)</f>
        <v>Наружные инженерные  водоводы, разработка грунта с погрузкой в автотранспорт, стальные трубы диаметры:</v>
      </c>
      <c r="BG518" s="1630"/>
      <c r="BH518" s="1630"/>
      <c r="BI518" s="1641">
        <v>0</v>
      </c>
    </row>
    <row customHeight="1" ht="14.25">
      <c r="A519" s="1369"/>
      <c r="B519" s="1369"/>
      <c r="C519" s="1369"/>
      <c r="D519" s="1369"/>
      <c r="E519" s="2265"/>
      <c r="F519" s="2265"/>
      <c r="G519" s="2265"/>
      <c r="H519" s="2265"/>
      <c r="I519" s="2292"/>
      <c r="J519" s="2292"/>
      <c r="K519" s="2262" t="str">
        <f>S491&amp;".1"</f>
        <v>.1</v>
      </c>
      <c r="L519" s="1375"/>
      <c r="M519" s="1782"/>
      <c r="N519" s="1782"/>
      <c r="O519" s="1782"/>
      <c r="P519" s="2380"/>
      <c r="Q519" s="2380"/>
      <c r="R519" s="2353">
        <v>1</v>
      </c>
      <c r="S519" s="2347" t="str">
        <f>$K519</f>
        <v>.1</v>
      </c>
      <c r="T519" s="2366"/>
      <c r="U519" s="306"/>
      <c r="V519" s="757"/>
      <c r="W519" s="1263"/>
      <c r="X519" s="757"/>
      <c r="Y519" s="1263"/>
      <c r="Z519" s="2608"/>
      <c r="AA519" s="2113" t="s">
        <v>62</v>
      </c>
      <c r="AB519" s="2608"/>
      <c r="AC519" s="2113" t="s">
        <v>62</v>
      </c>
      <c r="AD519" s="2191" t="s">
        <v>62</v>
      </c>
      <c r="AE519" s="2332"/>
      <c r="AF519" s="2443">
        <v>1</v>
      </c>
      <c r="AG519" s="2369"/>
      <c r="AH519" s="2113" t="s">
        <v>62</v>
      </c>
      <c r="AI519" s="2332"/>
      <c r="AJ519" s="2443">
        <v>1</v>
      </c>
      <c r="AK519" s="2333" t="s">
        <v>28</v>
      </c>
      <c r="AL519" s="2113" t="s">
        <v>62</v>
      </c>
      <c r="AM519" s="2300"/>
      <c r="AN519" s="2443">
        <v>1</v>
      </c>
      <c r="AO519" s="2363"/>
      <c r="AP519" s="2364" t="s">
        <v>62</v>
      </c>
      <c r="AQ519" s="689" t="s">
        <v>253</v>
      </c>
      <c r="AR519" s="2443" t="s">
        <v>112</v>
      </c>
      <c r="AS519" s="2582" t="s">
        <v>541</v>
      </c>
      <c r="AT519" s="757"/>
      <c r="AU519" s="1263"/>
      <c r="AV519" s="757"/>
      <c r="AW519" s="1263">
        <v>3314.75</v>
      </c>
      <c r="AX519" s="2608">
        <v>46023.3840625</v>
      </c>
      <c r="AY519" s="2113" t="s">
        <v>62</v>
      </c>
      <c r="AZ519" s="2608">
        <v>46387.394907407404</v>
      </c>
      <c r="BA519" s="2113" t="s">
        <v>62</v>
      </c>
      <c r="BB519" s="1354"/>
      <c r="BC519" s="2259" t="s">
        <v>514</v>
      </c>
      <c r="BD519" s="1648"/>
      <c r="BE519" s="1630"/>
      <c r="BF519" s="1630" t="str">
        <f>IF(T519="","",T519)</f>
        <v/>
      </c>
      <c r="BG519" s="1630"/>
      <c r="BH519" s="1630"/>
      <c r="BI519" s="1641">
        <v>0</v>
      </c>
    </row>
    <row customHeight="1" ht="14.25">
      <c r="A520" s="1369"/>
      <c r="B520" s="1369"/>
      <c r="C520" s="1369"/>
      <c r="D520" s="1369"/>
      <c r="E520" s="2265"/>
      <c r="F520" s="2265"/>
      <c r="G520" s="2265"/>
      <c r="H520" s="2265"/>
      <c r="I520" s="2292"/>
      <c r="J520" s="2292"/>
      <c r="K520" s="2262" t="str">
        <f>S516&amp;".1"</f>
        <v>.1</v>
      </c>
      <c r="L520" s="1375"/>
      <c r="M520" s="1782"/>
      <c r="N520" s="1782"/>
      <c r="O520" s="1782"/>
      <c r="P520" s="2380"/>
      <c r="Q520" s="2380"/>
      <c r="R520" s="2353">
        <v>1</v>
      </c>
      <c r="S520" s="2347" t="str">
        <f>$K520</f>
        <v>.1</v>
      </c>
      <c r="T520" s="2366"/>
      <c r="U520" s="306"/>
      <c r="V520" s="757"/>
      <c r="W520" s="1263"/>
      <c r="X520" s="757"/>
      <c r="Y520" s="1263"/>
      <c r="Z520" s="2608"/>
      <c r="AA520" s="2113" t="s">
        <v>62</v>
      </c>
      <c r="AB520" s="2608"/>
      <c r="AC520" s="2113" t="s">
        <v>62</v>
      </c>
      <c r="AD520" s="2191" t="s">
        <v>62</v>
      </c>
      <c r="AE520" s="2332"/>
      <c r="AF520" s="2443">
        <v>1</v>
      </c>
      <c r="AG520" s="2369"/>
      <c r="AH520" s="2113" t="s">
        <v>62</v>
      </c>
      <c r="AI520" s="2332"/>
      <c r="AJ520" s="2443">
        <v>1</v>
      </c>
      <c r="AK520" s="2333" t="s">
        <v>28</v>
      </c>
      <c r="AL520" s="2113" t="s">
        <v>62</v>
      </c>
      <c r="AM520" s="2300"/>
      <c r="AN520" s="2443">
        <v>1</v>
      </c>
      <c r="AO520" s="2363"/>
      <c r="AP520" s="2364" t="s">
        <v>62</v>
      </c>
      <c r="AQ520" s="689" t="s">
        <v>253</v>
      </c>
      <c r="AR520" s="2443" t="s">
        <v>91</v>
      </c>
      <c r="AS520" s="2582" t="s">
        <v>541</v>
      </c>
      <c r="AT520" s="757"/>
      <c r="AU520" s="1263"/>
      <c r="AV520" s="757"/>
      <c r="AW520" s="1263">
        <v>3462.04</v>
      </c>
      <c r="AX520" s="2608">
        <v>46023.38408564815</v>
      </c>
      <c r="AY520" s="2113" t="s">
        <v>62</v>
      </c>
      <c r="AZ520" s="2608">
        <v>46387.39498842593</v>
      </c>
      <c r="BA520" s="2113" t="s">
        <v>62</v>
      </c>
      <c r="BB520" s="1354"/>
      <c r="BC520" s="2259" t="s">
        <v>514</v>
      </c>
      <c r="BD520" s="1648"/>
      <c r="BE520" s="1630"/>
      <c r="BF520" s="1630" t="str">
        <f>IF(T520="","",T520)</f>
        <v/>
      </c>
      <c r="BG520" s="1630"/>
      <c r="BH520" s="1630"/>
      <c r="BI520" s="1641">
        <v>0</v>
      </c>
    </row>
    <row customHeight="1" ht="14.25">
      <c r="A521" s="1369"/>
      <c r="B521" s="1369"/>
      <c r="C521" s="1369"/>
      <c r="D521" s="1369"/>
      <c r="E521" s="2265"/>
      <c r="F521" s="2265"/>
      <c r="G521" s="2265"/>
      <c r="H521" s="2265"/>
      <c r="I521" s="2292"/>
      <c r="J521" s="2292"/>
      <c r="K521" s="2262" t="str">
        <f>S517&amp;".1"</f>
        <v>.1</v>
      </c>
      <c r="L521" s="1375"/>
      <c r="M521" s="1782"/>
      <c r="N521" s="1782"/>
      <c r="O521" s="1782"/>
      <c r="P521" s="2380"/>
      <c r="Q521" s="2380"/>
      <c r="R521" s="2353">
        <v>1</v>
      </c>
      <c r="S521" s="2347" t="str">
        <f>$K521</f>
        <v>.1</v>
      </c>
      <c r="T521" s="2366"/>
      <c r="U521" s="306"/>
      <c r="V521" s="757"/>
      <c r="W521" s="1263"/>
      <c r="X521" s="757"/>
      <c r="Y521" s="1263"/>
      <c r="Z521" s="2608"/>
      <c r="AA521" s="2113" t="s">
        <v>62</v>
      </c>
      <c r="AB521" s="2608"/>
      <c r="AC521" s="2113" t="s">
        <v>62</v>
      </c>
      <c r="AD521" s="2191" t="s">
        <v>62</v>
      </c>
      <c r="AE521" s="2332"/>
      <c r="AF521" s="2443">
        <v>1</v>
      </c>
      <c r="AG521" s="2369"/>
      <c r="AH521" s="2113" t="s">
        <v>62</v>
      </c>
      <c r="AI521" s="2332"/>
      <c r="AJ521" s="2443">
        <v>1</v>
      </c>
      <c r="AK521" s="2333" t="s">
        <v>28</v>
      </c>
      <c r="AL521" s="2113" t="s">
        <v>62</v>
      </c>
      <c r="AM521" s="2300"/>
      <c r="AN521" s="2443">
        <v>1</v>
      </c>
      <c r="AO521" s="2363"/>
      <c r="AP521" s="2364" t="s">
        <v>62</v>
      </c>
      <c r="AQ521" s="689" t="s">
        <v>253</v>
      </c>
      <c r="AR521" s="2443" t="s">
        <v>92</v>
      </c>
      <c r="AS521" s="2582" t="s">
        <v>541</v>
      </c>
      <c r="AT521" s="757"/>
      <c r="AU521" s="1263"/>
      <c r="AV521" s="757"/>
      <c r="AW521" s="1263">
        <v>4211.18</v>
      </c>
      <c r="AX521" s="2608">
        <v>46023.38412037037</v>
      </c>
      <c r="AY521" s="2113" t="s">
        <v>62</v>
      </c>
      <c r="AZ521" s="2608">
        <v>46387.39508101852</v>
      </c>
      <c r="BA521" s="2113" t="s">
        <v>62</v>
      </c>
      <c r="BB521" s="1354"/>
      <c r="BC521" s="2259" t="s">
        <v>514</v>
      </c>
      <c r="BD521" s="1648"/>
      <c r="BE521" s="1630"/>
      <c r="BF521" s="1630" t="str">
        <f>IF(T521="","",T521)</f>
        <v/>
      </c>
      <c r="BG521" s="1630"/>
      <c r="BH521" s="1630"/>
      <c r="BI521" s="1641">
        <v>0</v>
      </c>
    </row>
    <row customHeight="1" ht="14.25">
      <c r="A522" s="1369"/>
      <c r="B522" s="1369"/>
      <c r="C522" s="1369"/>
      <c r="D522" s="1369"/>
      <c r="E522" s="2265"/>
      <c r="F522" s="2265"/>
      <c r="G522" s="2265"/>
      <c r="H522" s="2265"/>
      <c r="I522" s="2292"/>
      <c r="J522" s="2292"/>
      <c r="K522" s="2262" t="str">
        <f>S450&amp;".2"</f>
        <v>3.1.1.2</v>
      </c>
      <c r="L522" s="1375"/>
      <c r="M522" s="1782"/>
      <c r="N522" s="1782"/>
      <c r="O522" s="1782"/>
      <c r="P522" s="2380"/>
      <c r="Q522" s="2380"/>
      <c r="R522" s="2353"/>
      <c r="S522" s="2348"/>
      <c r="T522" s="2367"/>
      <c r="U522" s="306"/>
      <c r="V522" s="7380"/>
      <c r="W522" s="7381"/>
      <c r="X522" s="7380"/>
      <c r="Y522" s="7381"/>
      <c r="Z522" s="7380"/>
      <c r="AA522" s="7380"/>
      <c r="AB522" s="7380"/>
      <c r="AC522" s="7380"/>
      <c r="AD522" s="2192"/>
      <c r="AE522" s="2332"/>
      <c r="AF522" s="2443"/>
      <c r="AG522" s="3339" t="s">
        <v>28</v>
      </c>
      <c r="AH522" s="2113"/>
      <c r="AI522" s="2332"/>
      <c r="AJ522" s="2443"/>
      <c r="AK522" s="2333"/>
      <c r="AL522" s="2113"/>
      <c r="AM522" s="2301"/>
      <c r="AN522" s="2443"/>
      <c r="AO522" s="3340" t="s">
        <v>28</v>
      </c>
      <c r="AP522" s="2365"/>
      <c r="AQ522" s="7382"/>
      <c r="AR522" s="7383"/>
      <c r="AS522" s="7419" t="s">
        <v>515</v>
      </c>
      <c r="AT522" s="7380"/>
      <c r="AU522" s="7381"/>
      <c r="AV522" s="7380"/>
      <c r="AW522" s="7381"/>
      <c r="AX522" s="7380"/>
      <c r="AY522" s="7380"/>
      <c r="AZ522" s="7380"/>
      <c r="BA522" s="7380"/>
      <c r="BB522" s="7385"/>
      <c r="BC522" s="2260"/>
      <c r="BD522" s="1648"/>
      <c r="BE522" s="1630"/>
      <c r="BF522" s="1630"/>
      <c r="BG522" s="1630"/>
      <c r="BH522" s="1630"/>
      <c r="BI522" s="1641">
        <v>0</v>
      </c>
    </row>
    <row customHeight="1" ht="14.25">
      <c r="A523" s="1369"/>
      <c r="B523" s="1369"/>
      <c r="C523" s="1369"/>
      <c r="D523" s="1369"/>
      <c r="E523" s="2265"/>
      <c r="F523" s="2265"/>
      <c r="G523" s="2265"/>
      <c r="H523" s="2265"/>
      <c r="I523" s="2292"/>
      <c r="J523" s="2292"/>
      <c r="K523" s="2262" t="str">
        <f>S450&amp;".2"</f>
        <v>3.1.1.2</v>
      </c>
      <c r="L523" s="1375"/>
      <c r="M523" s="1782"/>
      <c r="N523" s="1782"/>
      <c r="O523" s="1782"/>
      <c r="P523" s="2380"/>
      <c r="Q523" s="2380"/>
      <c r="R523" s="2353"/>
      <c r="S523" s="2348"/>
      <c r="T523" s="2367"/>
      <c r="U523" s="306"/>
      <c r="V523" s="7380"/>
      <c r="W523" s="7381"/>
      <c r="X523" s="7380"/>
      <c r="Y523" s="7381"/>
      <c r="Z523" s="7380"/>
      <c r="AA523" s="7380"/>
      <c r="AB523" s="7380"/>
      <c r="AC523" s="7380"/>
      <c r="AD523" s="2192"/>
      <c r="AE523" s="2332"/>
      <c r="AF523" s="2443"/>
      <c r="AG523" s="3339" t="s">
        <v>28</v>
      </c>
      <c r="AH523" s="2113"/>
      <c r="AI523" s="2332"/>
      <c r="AJ523" s="2443"/>
      <c r="AK523" s="2333"/>
      <c r="AL523" s="2113"/>
      <c r="AM523" s="7382"/>
      <c r="AN523" s="7386"/>
      <c r="AO523" s="7420" t="s">
        <v>516</v>
      </c>
      <c r="AP523" s="7383"/>
      <c r="AQ523" s="7383"/>
      <c r="AR523" s="7383"/>
      <c r="AS523" s="7380"/>
      <c r="AT523" s="7380"/>
      <c r="AU523" s="7381"/>
      <c r="AV523" s="7380"/>
      <c r="AW523" s="7381"/>
      <c r="AX523" s="7380"/>
      <c r="AY523" s="7380"/>
      <c r="AZ523" s="7380"/>
      <c r="BA523" s="7380"/>
      <c r="BB523" s="7385"/>
      <c r="BC523" s="2260"/>
      <c r="BD523" s="1648"/>
      <c r="BE523" s="1630"/>
      <c r="BF523" s="1630"/>
      <c r="BG523" s="1630"/>
      <c r="BH523" s="1630"/>
      <c r="BI523" s="1641">
        <v>0</v>
      </c>
    </row>
    <row customHeight="1" ht="14.25">
      <c r="A524" s="1369"/>
      <c r="B524" s="1369"/>
      <c r="C524" s="1369"/>
      <c r="D524" s="1369"/>
      <c r="E524" s="2265"/>
      <c r="F524" s="2265"/>
      <c r="G524" s="2265"/>
      <c r="H524" s="2265"/>
      <c r="I524" s="2292"/>
      <c r="J524" s="2292"/>
      <c r="K524" s="2262" t="str">
        <f>S520&amp;".1"</f>
        <v>.1.1</v>
      </c>
      <c r="L524" s="1375"/>
      <c r="M524" s="1782"/>
      <c r="N524" s="1782"/>
      <c r="O524" s="1782"/>
      <c r="P524" s="2380"/>
      <c r="Q524" s="2380"/>
      <c r="R524" s="2353">
        <v>1</v>
      </c>
      <c r="S524" s="2347" t="str">
        <f>$K524</f>
        <v>.1.1</v>
      </c>
      <c r="T524" s="2366"/>
      <c r="U524" s="306"/>
      <c r="V524" s="757"/>
      <c r="W524" s="1263"/>
      <c r="X524" s="757"/>
      <c r="Y524" s="1263"/>
      <c r="Z524" s="2608"/>
      <c r="AA524" s="2113" t="s">
        <v>62</v>
      </c>
      <c r="AB524" s="2608"/>
      <c r="AC524" s="2113" t="s">
        <v>62</v>
      </c>
      <c r="AD524" s="2191" t="s">
        <v>62</v>
      </c>
      <c r="AE524" s="2332"/>
      <c r="AF524" s="2443">
        <v>1</v>
      </c>
      <c r="AG524" s="2369"/>
      <c r="AH524" s="2113" t="s">
        <v>62</v>
      </c>
      <c r="AI524" s="689" t="s">
        <v>253</v>
      </c>
      <c r="AJ524" s="2443" t="s">
        <v>112</v>
      </c>
      <c r="AK524" s="2333" t="s">
        <v>533</v>
      </c>
      <c r="AL524" s="2113" t="s">
        <v>19</v>
      </c>
      <c r="AM524" s="2300"/>
      <c r="AN524" s="2443">
        <v>1</v>
      </c>
      <c r="AO524" s="3340" t="s">
        <v>28</v>
      </c>
      <c r="AP524" s="2364" t="s">
        <v>62</v>
      </c>
      <c r="AQ524" s="317"/>
      <c r="AR524" s="2443">
        <v>1</v>
      </c>
      <c r="AS524" s="2582" t="s">
        <v>541</v>
      </c>
      <c r="AT524" s="757"/>
      <c r="AU524" s="1263"/>
      <c r="AV524" s="757"/>
      <c r="AW524" s="1263">
        <v>5968.06</v>
      </c>
      <c r="AX524" s="2608">
        <v>46023.38416666666</v>
      </c>
      <c r="AY524" s="2113" t="s">
        <v>62</v>
      </c>
      <c r="AZ524" s="2608">
        <v>46387.395208333335</v>
      </c>
      <c r="BA524" s="2113" t="s">
        <v>62</v>
      </c>
      <c r="BB524" s="1354"/>
      <c r="BC524" s="2259" t="s">
        <v>514</v>
      </c>
      <c r="BD524" s="1648"/>
      <c r="BE524" s="1630"/>
      <c r="BF524" s="1630" t="str">
        <f>IF(T524="","",T524)</f>
        <v/>
      </c>
      <c r="BG524" s="1630"/>
      <c r="BH524" s="1630"/>
      <c r="BI524" s="1641">
        <v>0</v>
      </c>
    </row>
    <row customHeight="1" ht="14.25">
      <c r="A525" s="1369"/>
      <c r="B525" s="1369"/>
      <c r="C525" s="1369"/>
      <c r="D525" s="1369"/>
      <c r="E525" s="2265"/>
      <c r="F525" s="2265"/>
      <c r="G525" s="2265"/>
      <c r="H525" s="2265"/>
      <c r="I525" s="2292"/>
      <c r="J525" s="2292"/>
      <c r="K525" s="2262" t="str">
        <f>S521&amp;".1"</f>
        <v>.1.1</v>
      </c>
      <c r="L525" s="1375"/>
      <c r="M525" s="1782"/>
      <c r="N525" s="1782"/>
      <c r="O525" s="1782"/>
      <c r="P525" s="2380"/>
      <c r="Q525" s="2380"/>
      <c r="R525" s="2353">
        <v>1</v>
      </c>
      <c r="S525" s="2347" t="str">
        <f>$K525</f>
        <v>.1.1</v>
      </c>
      <c r="T525" s="2366"/>
      <c r="U525" s="306"/>
      <c r="V525" s="757"/>
      <c r="W525" s="1263"/>
      <c r="X525" s="757"/>
      <c r="Y525" s="1263"/>
      <c r="Z525" s="2608"/>
      <c r="AA525" s="2113" t="s">
        <v>62</v>
      </c>
      <c r="AB525" s="2608"/>
      <c r="AC525" s="2113" t="s">
        <v>62</v>
      </c>
      <c r="AD525" s="2191" t="s">
        <v>62</v>
      </c>
      <c r="AE525" s="2332"/>
      <c r="AF525" s="2443">
        <v>1</v>
      </c>
      <c r="AG525" s="2369"/>
      <c r="AH525" s="2113" t="s">
        <v>62</v>
      </c>
      <c r="AI525" s="2332"/>
      <c r="AJ525" s="2443">
        <v>1</v>
      </c>
      <c r="AK525" s="2333" t="s">
        <v>28</v>
      </c>
      <c r="AL525" s="2113" t="s">
        <v>62</v>
      </c>
      <c r="AM525" s="2300"/>
      <c r="AN525" s="2443">
        <v>1</v>
      </c>
      <c r="AO525" s="3340" t="s">
        <v>28</v>
      </c>
      <c r="AP525" s="2364" t="s">
        <v>62</v>
      </c>
      <c r="AQ525" s="689" t="s">
        <v>253</v>
      </c>
      <c r="AR525" s="2443" t="s">
        <v>112</v>
      </c>
      <c r="AS525" s="2582" t="s">
        <v>541</v>
      </c>
      <c r="AT525" s="757"/>
      <c r="AU525" s="1263"/>
      <c r="AV525" s="757"/>
      <c r="AW525" s="1263">
        <v>7684.82</v>
      </c>
      <c r="AX525" s="2608">
        <v>46023.38421296296</v>
      </c>
      <c r="AY525" s="2113" t="s">
        <v>62</v>
      </c>
      <c r="AZ525" s="2608">
        <v>46387.395370370374</v>
      </c>
      <c r="BA525" s="2113" t="s">
        <v>62</v>
      </c>
      <c r="BB525" s="1354"/>
      <c r="BC525" s="2259" t="s">
        <v>514</v>
      </c>
      <c r="BD525" s="1648"/>
      <c r="BE525" s="1630"/>
      <c r="BF525" s="1630" t="str">
        <f>IF(T525="","",T525)</f>
        <v/>
      </c>
      <c r="BG525" s="1630"/>
      <c r="BH525" s="1630"/>
      <c r="BI525" s="1641">
        <v>0</v>
      </c>
    </row>
    <row customHeight="1" ht="14.25">
      <c r="A526" s="1369"/>
      <c r="B526" s="1369"/>
      <c r="C526" s="1369"/>
      <c r="D526" s="1369"/>
      <c r="E526" s="2265"/>
      <c r="F526" s="2265"/>
      <c r="G526" s="2265"/>
      <c r="H526" s="2265"/>
      <c r="I526" s="2292"/>
      <c r="J526" s="2292"/>
      <c r="K526" s="2262"/>
      <c r="L526" s="1375"/>
      <c r="M526" s="1782"/>
      <c r="N526" s="1782"/>
      <c r="O526" s="1782"/>
      <c r="P526" s="2380"/>
      <c r="Q526" s="2380"/>
      <c r="R526" s="2353"/>
      <c r="S526" s="2348"/>
      <c r="T526" s="2367"/>
      <c r="U526" s="306"/>
      <c r="V526" s="7380"/>
      <c r="W526" s="7381"/>
      <c r="X526" s="7380"/>
      <c r="Y526" s="7381"/>
      <c r="Z526" s="7380"/>
      <c r="AA526" s="7380"/>
      <c r="AB526" s="7380"/>
      <c r="AC526" s="7380"/>
      <c r="AD526" s="2192"/>
      <c r="AE526" s="2332"/>
      <c r="AF526" s="2443"/>
      <c r="AG526" s="2369"/>
      <c r="AH526" s="2113"/>
      <c r="AI526" s="2332"/>
      <c r="AJ526" s="2443">
        <v>1</v>
      </c>
      <c r="AK526" s="2333"/>
      <c r="AL526" s="2113"/>
      <c r="AM526" s="2301"/>
      <c r="AN526" s="2443"/>
      <c r="AO526" s="3340" t="s">
        <v>28</v>
      </c>
      <c r="AP526" s="2365"/>
      <c r="AQ526" s="7382"/>
      <c r="AR526" s="7383"/>
      <c r="AS526" s="7421" t="s">
        <v>515</v>
      </c>
      <c r="AT526" s="7380"/>
      <c r="AU526" s="7381"/>
      <c r="AV526" s="7380"/>
      <c r="AW526" s="7381"/>
      <c r="AX526" s="7380"/>
      <c r="AY526" s="7380"/>
      <c r="AZ526" s="7380"/>
      <c r="BA526" s="7380"/>
      <c r="BB526" s="7385"/>
      <c r="BC526" s="2260"/>
      <c r="BD526" s="1648"/>
      <c r="BE526" s="1630"/>
      <c r="BF526" s="1630"/>
      <c r="BG526" s="1630"/>
      <c r="BH526" s="1630"/>
      <c r="BI526" s="1641">
        <v>0</v>
      </c>
    </row>
    <row customHeight="1" ht="14.25">
      <c r="A527" s="1369"/>
      <c r="B527" s="1369"/>
      <c r="C527" s="1369"/>
      <c r="D527" s="1369"/>
      <c r="E527" s="2265"/>
      <c r="F527" s="2265"/>
      <c r="G527" s="2265"/>
      <c r="H527" s="2265"/>
      <c r="I527" s="2292"/>
      <c r="J527" s="2292"/>
      <c r="K527" s="2262"/>
      <c r="L527" s="1375"/>
      <c r="M527" s="1782"/>
      <c r="N527" s="1782"/>
      <c r="O527" s="1782"/>
      <c r="P527" s="2380"/>
      <c r="Q527" s="2380"/>
      <c r="R527" s="2353"/>
      <c r="S527" s="2348"/>
      <c r="T527" s="2367"/>
      <c r="U527" s="306"/>
      <c r="V527" s="7380"/>
      <c r="W527" s="7381"/>
      <c r="X527" s="7380"/>
      <c r="Y527" s="7381"/>
      <c r="Z527" s="7380"/>
      <c r="AA527" s="7380"/>
      <c r="AB527" s="7380"/>
      <c r="AC527" s="7380"/>
      <c r="AD527" s="2192"/>
      <c r="AE527" s="2332"/>
      <c r="AF527" s="2443"/>
      <c r="AG527" s="2369"/>
      <c r="AH527" s="2113"/>
      <c r="AI527" s="2332"/>
      <c r="AJ527" s="2443">
        <v>1</v>
      </c>
      <c r="AK527" s="2333"/>
      <c r="AL527" s="2113"/>
      <c r="AM527" s="7382"/>
      <c r="AN527" s="7386"/>
      <c r="AO527" s="7422" t="s">
        <v>516</v>
      </c>
      <c r="AP527" s="7383"/>
      <c r="AQ527" s="7383"/>
      <c r="AR527" s="7383"/>
      <c r="AS527" s="7380"/>
      <c r="AT527" s="7380"/>
      <c r="AU527" s="7381"/>
      <c r="AV527" s="7380"/>
      <c r="AW527" s="7381"/>
      <c r="AX527" s="7380"/>
      <c r="AY527" s="7380"/>
      <c r="AZ527" s="7380"/>
      <c r="BA527" s="7380"/>
      <c r="BB527" s="7385"/>
      <c r="BC527" s="2260"/>
      <c r="BD527" s="1648"/>
      <c r="BE527" s="1630"/>
      <c r="BF527" s="1630"/>
      <c r="BG527" s="1630"/>
      <c r="BH527" s="1630"/>
      <c r="BI527" s="1641">
        <v>0</v>
      </c>
    </row>
    <row customHeight="1" ht="14.25">
      <c r="A528" s="1369"/>
      <c r="B528" s="1369"/>
      <c r="C528" s="1369"/>
      <c r="D528" s="1369"/>
      <c r="E528" s="2265"/>
      <c r="F528" s="2265"/>
      <c r="G528" s="2265"/>
      <c r="H528" s="2265"/>
      <c r="I528" s="2292"/>
      <c r="J528" s="2292"/>
      <c r="K528" s="2262" t="str">
        <f>S523&amp;".1"</f>
        <v>.1</v>
      </c>
      <c r="L528" s="1375"/>
      <c r="M528" s="1782"/>
      <c r="N528" s="1782"/>
      <c r="O528" s="1782"/>
      <c r="P528" s="2380"/>
      <c r="Q528" s="2380"/>
      <c r="R528" s="2353">
        <v>1</v>
      </c>
      <c r="S528" s="2347" t="str">
        <f>$K528</f>
        <v>.1</v>
      </c>
      <c r="T528" s="2366"/>
      <c r="U528" s="306"/>
      <c r="V528" s="757"/>
      <c r="W528" s="1263"/>
      <c r="X528" s="757"/>
      <c r="Y528" s="1263"/>
      <c r="Z528" s="2608"/>
      <c r="AA528" s="2113" t="s">
        <v>62</v>
      </c>
      <c r="AB528" s="2608"/>
      <c r="AC528" s="2113" t="s">
        <v>62</v>
      </c>
      <c r="AD528" s="2191" t="s">
        <v>62</v>
      </c>
      <c r="AE528" s="2332"/>
      <c r="AF528" s="2443">
        <v>1</v>
      </c>
      <c r="AG528" s="2369"/>
      <c r="AH528" s="2113" t="s">
        <v>62</v>
      </c>
      <c r="AI528" s="689" t="s">
        <v>253</v>
      </c>
      <c r="AJ528" s="2443" t="s">
        <v>91</v>
      </c>
      <c r="AK528" s="2333" t="s">
        <v>534</v>
      </c>
      <c r="AL528" s="2113" t="s">
        <v>19</v>
      </c>
      <c r="AM528" s="2300"/>
      <c r="AN528" s="2443">
        <v>1</v>
      </c>
      <c r="AO528" s="3340" t="s">
        <v>28</v>
      </c>
      <c r="AP528" s="2364" t="s">
        <v>62</v>
      </c>
      <c r="AQ528" s="317"/>
      <c r="AR528" s="2443">
        <v>1</v>
      </c>
      <c r="AS528" s="2582" t="s">
        <v>541</v>
      </c>
      <c r="AT528" s="757"/>
      <c r="AU528" s="1263"/>
      <c r="AV528" s="757"/>
      <c r="AW528" s="1263">
        <v>7746.53</v>
      </c>
      <c r="AX528" s="2608">
        <v>46023.384247685186</v>
      </c>
      <c r="AY528" s="2113" t="s">
        <v>62</v>
      </c>
      <c r="AZ528" s="2608">
        <v>46387.39545138889</v>
      </c>
      <c r="BA528" s="2113" t="s">
        <v>62</v>
      </c>
      <c r="BB528" s="1354"/>
      <c r="BC528" s="2259" t="s">
        <v>514</v>
      </c>
      <c r="BD528" s="1648"/>
      <c r="BE528" s="1630"/>
      <c r="BF528" s="1630" t="str">
        <f>IF(T528="","",T528)</f>
        <v/>
      </c>
      <c r="BG528" s="1630"/>
      <c r="BH528" s="1630"/>
      <c r="BI528" s="1641">
        <v>0</v>
      </c>
    </row>
    <row customHeight="1" ht="14.25">
      <c r="A529" s="1369"/>
      <c r="B529" s="1369"/>
      <c r="C529" s="1369"/>
      <c r="D529" s="1369"/>
      <c r="E529" s="2265"/>
      <c r="F529" s="2265"/>
      <c r="G529" s="2265"/>
      <c r="H529" s="2265"/>
      <c r="I529" s="2292"/>
      <c r="J529" s="2292"/>
      <c r="K529" s="2262" t="str">
        <f>S525&amp;".1"</f>
        <v>.1.1.1</v>
      </c>
      <c r="L529" s="1375"/>
      <c r="M529" s="1782"/>
      <c r="N529" s="1782"/>
      <c r="O529" s="1782"/>
      <c r="P529" s="2380"/>
      <c r="Q529" s="2380"/>
      <c r="R529" s="2353">
        <v>1</v>
      </c>
      <c r="S529" s="2347" t="str">
        <f>$K529</f>
        <v>.1.1.1</v>
      </c>
      <c r="T529" s="2366"/>
      <c r="U529" s="306"/>
      <c r="V529" s="757"/>
      <c r="W529" s="1263"/>
      <c r="X529" s="757"/>
      <c r="Y529" s="1263"/>
      <c r="Z529" s="2608"/>
      <c r="AA529" s="2113" t="s">
        <v>62</v>
      </c>
      <c r="AB529" s="2608"/>
      <c r="AC529" s="2113" t="s">
        <v>62</v>
      </c>
      <c r="AD529" s="2191" t="s">
        <v>62</v>
      </c>
      <c r="AE529" s="2332"/>
      <c r="AF529" s="2443">
        <v>1</v>
      </c>
      <c r="AG529" s="2369"/>
      <c r="AH529" s="2113" t="s">
        <v>62</v>
      </c>
      <c r="AI529" s="2332"/>
      <c r="AJ529" s="2443">
        <v>1</v>
      </c>
      <c r="AK529" s="2333" t="s">
        <v>28</v>
      </c>
      <c r="AL529" s="2113" t="s">
        <v>62</v>
      </c>
      <c r="AM529" s="2300"/>
      <c r="AN529" s="2443">
        <v>1</v>
      </c>
      <c r="AO529" s="3340" t="s">
        <v>28</v>
      </c>
      <c r="AP529" s="2364" t="s">
        <v>62</v>
      </c>
      <c r="AQ529" s="689" t="s">
        <v>253</v>
      </c>
      <c r="AR529" s="2443" t="s">
        <v>112</v>
      </c>
      <c r="AS529" s="2582" t="s">
        <v>541</v>
      </c>
      <c r="AT529" s="757"/>
      <c r="AU529" s="1263"/>
      <c r="AV529" s="757"/>
      <c r="AW529" s="1263">
        <v>10149.98</v>
      </c>
      <c r="AX529" s="2608">
        <v>46023.38428240741</v>
      </c>
      <c r="AY529" s="2113" t="s">
        <v>62</v>
      </c>
      <c r="AZ529" s="2608">
        <v>46387.395532407405</v>
      </c>
      <c r="BA529" s="2113" t="s">
        <v>62</v>
      </c>
      <c r="BB529" s="1354"/>
      <c r="BC529" s="2259" t="s">
        <v>514</v>
      </c>
      <c r="BD529" s="1648"/>
      <c r="BE529" s="1630"/>
      <c r="BF529" s="1630" t="str">
        <f>IF(T529="","",T529)</f>
        <v/>
      </c>
      <c r="BG529" s="1630"/>
      <c r="BH529" s="1630"/>
      <c r="BI529" s="1641">
        <v>0</v>
      </c>
    </row>
    <row customHeight="1" ht="14.25">
      <c r="A530" s="1369"/>
      <c r="B530" s="1369"/>
      <c r="C530" s="1369"/>
      <c r="D530" s="1369"/>
      <c r="E530" s="2265"/>
      <c r="F530" s="2265"/>
      <c r="G530" s="2265"/>
      <c r="H530" s="2265"/>
      <c r="I530" s="2292"/>
      <c r="J530" s="2292"/>
      <c r="K530" s="2262" t="str">
        <f>S526&amp;".1"</f>
        <v>.1</v>
      </c>
      <c r="L530" s="1375"/>
      <c r="M530" s="1782"/>
      <c r="N530" s="1782"/>
      <c r="O530" s="1782"/>
      <c r="P530" s="2380"/>
      <c r="Q530" s="2380"/>
      <c r="R530" s="2353">
        <v>1</v>
      </c>
      <c r="S530" s="2347" t="str">
        <f>$K530</f>
        <v>.1</v>
      </c>
      <c r="T530" s="2366"/>
      <c r="U530" s="306"/>
      <c r="V530" s="757"/>
      <c r="W530" s="1263"/>
      <c r="X530" s="757"/>
      <c r="Y530" s="1263"/>
      <c r="Z530" s="2608"/>
      <c r="AA530" s="2113" t="s">
        <v>62</v>
      </c>
      <c r="AB530" s="2608"/>
      <c r="AC530" s="2113" t="s">
        <v>62</v>
      </c>
      <c r="AD530" s="2191" t="s">
        <v>62</v>
      </c>
      <c r="AE530" s="2332"/>
      <c r="AF530" s="2443">
        <v>1</v>
      </c>
      <c r="AG530" s="2369"/>
      <c r="AH530" s="2113" t="s">
        <v>62</v>
      </c>
      <c r="AI530" s="2332"/>
      <c r="AJ530" s="2443">
        <v>1</v>
      </c>
      <c r="AK530" s="2333" t="s">
        <v>28</v>
      </c>
      <c r="AL530" s="2113" t="s">
        <v>62</v>
      </c>
      <c r="AM530" s="2300"/>
      <c r="AN530" s="2443">
        <v>1</v>
      </c>
      <c r="AO530" s="3340" t="s">
        <v>28</v>
      </c>
      <c r="AP530" s="2364" t="s">
        <v>62</v>
      </c>
      <c r="AQ530" s="689" t="s">
        <v>253</v>
      </c>
      <c r="AR530" s="2443" t="s">
        <v>91</v>
      </c>
      <c r="AS530" s="2582" t="s">
        <v>541</v>
      </c>
      <c r="AT530" s="757"/>
      <c r="AU530" s="1263"/>
      <c r="AV530" s="757"/>
      <c r="AW530" s="1263">
        <v>9605.83</v>
      </c>
      <c r="AX530" s="2608">
        <v>46023.384305555555</v>
      </c>
      <c r="AY530" s="2113" t="s">
        <v>62</v>
      </c>
      <c r="AZ530" s="2608">
        <v>46387.395590277774</v>
      </c>
      <c r="BA530" s="2113" t="s">
        <v>62</v>
      </c>
      <c r="BB530" s="1354"/>
      <c r="BC530" s="2259" t="s">
        <v>514</v>
      </c>
      <c r="BD530" s="1648"/>
      <c r="BE530" s="1630"/>
      <c r="BF530" s="1630" t="str">
        <f>IF(T530="","",T530)</f>
        <v/>
      </c>
      <c r="BG530" s="1630"/>
      <c r="BH530" s="1630"/>
      <c r="BI530" s="1641">
        <v>0</v>
      </c>
    </row>
    <row customHeight="1" ht="14.25">
      <c r="A531" s="1369"/>
      <c r="B531" s="1369"/>
      <c r="C531" s="1369"/>
      <c r="D531" s="1369"/>
      <c r="E531" s="2265"/>
      <c r="F531" s="2265"/>
      <c r="G531" s="2265"/>
      <c r="H531" s="2265"/>
      <c r="I531" s="2292"/>
      <c r="J531" s="2292"/>
      <c r="K531" s="2262" t="str">
        <f>S527&amp;".1"</f>
        <v>.1</v>
      </c>
      <c r="L531" s="1375"/>
      <c r="M531" s="1782"/>
      <c r="N531" s="1782"/>
      <c r="O531" s="1782"/>
      <c r="P531" s="2380"/>
      <c r="Q531" s="2380"/>
      <c r="R531" s="2353">
        <v>1</v>
      </c>
      <c r="S531" s="2347" t="str">
        <f>$K531</f>
        <v>.1</v>
      </c>
      <c r="T531" s="2366"/>
      <c r="U531" s="306"/>
      <c r="V531" s="757"/>
      <c r="W531" s="1263"/>
      <c r="X531" s="757"/>
      <c r="Y531" s="1263"/>
      <c r="Z531" s="2608"/>
      <c r="AA531" s="2113" t="s">
        <v>62</v>
      </c>
      <c r="AB531" s="2608"/>
      <c r="AC531" s="2113" t="s">
        <v>62</v>
      </c>
      <c r="AD531" s="2191" t="s">
        <v>62</v>
      </c>
      <c r="AE531" s="2332"/>
      <c r="AF531" s="2443">
        <v>1</v>
      </c>
      <c r="AG531" s="2369"/>
      <c r="AH531" s="2113" t="s">
        <v>62</v>
      </c>
      <c r="AI531" s="2332"/>
      <c r="AJ531" s="2443">
        <v>1</v>
      </c>
      <c r="AK531" s="2333" t="s">
        <v>28</v>
      </c>
      <c r="AL531" s="2113" t="s">
        <v>62</v>
      </c>
      <c r="AM531" s="2300"/>
      <c r="AN531" s="2443">
        <v>1</v>
      </c>
      <c r="AO531" s="3340" t="s">
        <v>28</v>
      </c>
      <c r="AP531" s="2364" t="s">
        <v>62</v>
      </c>
      <c r="AQ531" s="689" t="s">
        <v>253</v>
      </c>
      <c r="AR531" s="2443" t="s">
        <v>92</v>
      </c>
      <c r="AS531" s="2582" t="s">
        <v>541</v>
      </c>
      <c r="AT531" s="757"/>
      <c r="AU531" s="1263"/>
      <c r="AV531" s="757"/>
      <c r="AW531" s="1263">
        <v>12727.2</v>
      </c>
      <c r="AX531" s="2608">
        <v>46023.38434027778</v>
      </c>
      <c r="AY531" s="2113" t="s">
        <v>62</v>
      </c>
      <c r="AZ531" s="2608">
        <v>46387.395682870374</v>
      </c>
      <c r="BA531" s="2113" t="s">
        <v>62</v>
      </c>
      <c r="BB531" s="1354"/>
      <c r="BC531" s="2259" t="s">
        <v>514</v>
      </c>
      <c r="BD531" s="1648"/>
      <c r="BE531" s="1630"/>
      <c r="BF531" s="1630" t="str">
        <f>IF(T531="","",T531)</f>
        <v/>
      </c>
      <c r="BG531" s="1630"/>
      <c r="BH531" s="1630"/>
      <c r="BI531" s="1641">
        <v>0</v>
      </c>
    </row>
    <row customHeight="1" ht="14.25">
      <c r="A532" s="1369"/>
      <c r="B532" s="1369"/>
      <c r="C532" s="1369"/>
      <c r="D532" s="1369"/>
      <c r="E532" s="2265"/>
      <c r="F532" s="2265"/>
      <c r="G532" s="2265"/>
      <c r="H532" s="2265"/>
      <c r="I532" s="2292"/>
      <c r="J532" s="2292"/>
      <c r="K532" s="2262"/>
      <c r="L532" s="1375"/>
      <c r="M532" s="1782"/>
      <c r="N532" s="1782"/>
      <c r="O532" s="1782"/>
      <c r="P532" s="2380"/>
      <c r="Q532" s="2380"/>
      <c r="R532" s="2353"/>
      <c r="S532" s="2348"/>
      <c r="T532" s="2367"/>
      <c r="U532" s="306"/>
      <c r="V532" s="7380"/>
      <c r="W532" s="7381"/>
      <c r="X532" s="7380"/>
      <c r="Y532" s="7381"/>
      <c r="Z532" s="7380"/>
      <c r="AA532" s="7380"/>
      <c r="AB532" s="7380"/>
      <c r="AC532" s="7380"/>
      <c r="AD532" s="2192"/>
      <c r="AE532" s="2332"/>
      <c r="AF532" s="2443"/>
      <c r="AG532" s="2369"/>
      <c r="AH532" s="2113"/>
      <c r="AI532" s="2332"/>
      <c r="AJ532" s="2443" t="s">
        <v>112</v>
      </c>
      <c r="AK532" s="2333"/>
      <c r="AL532" s="2113"/>
      <c r="AM532" s="2301"/>
      <c r="AN532" s="2443"/>
      <c r="AO532" s="3340" t="s">
        <v>28</v>
      </c>
      <c r="AP532" s="2365"/>
      <c r="AQ532" s="7382"/>
      <c r="AR532" s="7383"/>
      <c r="AS532" s="7423" t="s">
        <v>515</v>
      </c>
      <c r="AT532" s="7380"/>
      <c r="AU532" s="7381"/>
      <c r="AV532" s="7380"/>
      <c r="AW532" s="7381"/>
      <c r="AX532" s="7380"/>
      <c r="AY532" s="7380"/>
      <c r="AZ532" s="7380"/>
      <c r="BA532" s="7380"/>
      <c r="BB532" s="7385"/>
      <c r="BC532" s="2260"/>
      <c r="BD532" s="1648"/>
      <c r="BE532" s="1630"/>
      <c r="BF532" s="1630"/>
      <c r="BG532" s="1630"/>
      <c r="BH532" s="1630"/>
      <c r="BI532" s="1641">
        <v>0</v>
      </c>
    </row>
    <row customHeight="1" ht="14.25">
      <c r="A533" s="1369"/>
      <c r="B533" s="1369"/>
      <c r="C533" s="1369"/>
      <c r="D533" s="1369"/>
      <c r="E533" s="2265"/>
      <c r="F533" s="2265"/>
      <c r="G533" s="2265"/>
      <c r="H533" s="2265"/>
      <c r="I533" s="2292"/>
      <c r="J533" s="2292"/>
      <c r="K533" s="2262"/>
      <c r="L533" s="1375"/>
      <c r="M533" s="1782"/>
      <c r="N533" s="1782"/>
      <c r="O533" s="1782"/>
      <c r="P533" s="2380"/>
      <c r="Q533" s="2380"/>
      <c r="R533" s="2353"/>
      <c r="S533" s="2348"/>
      <c r="T533" s="2367"/>
      <c r="U533" s="306"/>
      <c r="V533" s="7380"/>
      <c r="W533" s="7381"/>
      <c r="X533" s="7380"/>
      <c r="Y533" s="7381"/>
      <c r="Z533" s="7380"/>
      <c r="AA533" s="7380"/>
      <c r="AB533" s="7380"/>
      <c r="AC533" s="7380"/>
      <c r="AD533" s="2192"/>
      <c r="AE533" s="2332"/>
      <c r="AF533" s="2443"/>
      <c r="AG533" s="2369"/>
      <c r="AH533" s="2113"/>
      <c r="AI533" s="2332"/>
      <c r="AJ533" s="2443" t="s">
        <v>112</v>
      </c>
      <c r="AK533" s="2333"/>
      <c r="AL533" s="2113"/>
      <c r="AM533" s="7382"/>
      <c r="AN533" s="7386"/>
      <c r="AO533" s="7424" t="s">
        <v>516</v>
      </c>
      <c r="AP533" s="7383"/>
      <c r="AQ533" s="7383"/>
      <c r="AR533" s="7383"/>
      <c r="AS533" s="7380"/>
      <c r="AT533" s="7380"/>
      <c r="AU533" s="7381"/>
      <c r="AV533" s="7380"/>
      <c r="AW533" s="7381"/>
      <c r="AX533" s="7380"/>
      <c r="AY533" s="7380"/>
      <c r="AZ533" s="7380"/>
      <c r="BA533" s="7380"/>
      <c r="BB533" s="7385"/>
      <c r="BC533" s="2260"/>
      <c r="BD533" s="1648"/>
      <c r="BE533" s="1630"/>
      <c r="BF533" s="1630"/>
      <c r="BG533" s="1630"/>
      <c r="BH533" s="1630"/>
      <c r="BI533" s="1641">
        <v>0</v>
      </c>
    </row>
    <row customHeight="1" ht="14.25">
      <c r="A534" s="1369"/>
      <c r="B534" s="1369"/>
      <c r="C534" s="1369"/>
      <c r="D534" s="1369"/>
      <c r="E534" s="2265"/>
      <c r="F534" s="2265"/>
      <c r="G534" s="2265"/>
      <c r="H534" s="2265"/>
      <c r="I534" s="2292"/>
      <c r="J534" s="2292"/>
      <c r="K534" s="2262" t="str">
        <f>S527&amp;".1"</f>
        <v>.1</v>
      </c>
      <c r="L534" s="1375"/>
      <c r="M534" s="1782"/>
      <c r="N534" s="1782"/>
      <c r="O534" s="1782"/>
      <c r="P534" s="2380"/>
      <c r="Q534" s="2380"/>
      <c r="R534" s="2353">
        <v>1</v>
      </c>
      <c r="S534" s="2347" t="str">
        <f>$K534</f>
        <v>.1</v>
      </c>
      <c r="T534" s="2366"/>
      <c r="U534" s="306"/>
      <c r="V534" s="757"/>
      <c r="W534" s="1263"/>
      <c r="X534" s="757"/>
      <c r="Y534" s="1263"/>
      <c r="Z534" s="2608"/>
      <c r="AA534" s="2113" t="s">
        <v>62</v>
      </c>
      <c r="AB534" s="2608"/>
      <c r="AC534" s="2113" t="s">
        <v>62</v>
      </c>
      <c r="AD534" s="2191" t="s">
        <v>62</v>
      </c>
      <c r="AE534" s="2332"/>
      <c r="AF534" s="2443">
        <v>1</v>
      </c>
      <c r="AG534" s="2369"/>
      <c r="AH534" s="2113" t="s">
        <v>62</v>
      </c>
      <c r="AI534" s="689" t="s">
        <v>253</v>
      </c>
      <c r="AJ534" s="2443" t="s">
        <v>92</v>
      </c>
      <c r="AK534" s="2333" t="s">
        <v>535</v>
      </c>
      <c r="AL534" s="2113" t="s">
        <v>19</v>
      </c>
      <c r="AM534" s="2300"/>
      <c r="AN534" s="2443">
        <v>1</v>
      </c>
      <c r="AO534" s="3340" t="s">
        <v>28</v>
      </c>
      <c r="AP534" s="2364" t="s">
        <v>62</v>
      </c>
      <c r="AQ534" s="317"/>
      <c r="AR534" s="2443">
        <v>1</v>
      </c>
      <c r="AS534" s="2582" t="s">
        <v>541</v>
      </c>
      <c r="AT534" s="757"/>
      <c r="AU534" s="1263"/>
      <c r="AV534" s="757"/>
      <c r="AW534" s="1263">
        <v>11038.6</v>
      </c>
      <c r="AX534" s="2608">
        <v>46023.384409722225</v>
      </c>
      <c r="AY534" s="2113" t="s">
        <v>62</v>
      </c>
      <c r="AZ534" s="2608">
        <v>46387.39576388889</v>
      </c>
      <c r="BA534" s="2113" t="s">
        <v>62</v>
      </c>
      <c r="BB534" s="1354"/>
      <c r="BC534" s="2259" t="s">
        <v>514</v>
      </c>
      <c r="BD534" s="1648"/>
      <c r="BE534" s="1630"/>
      <c r="BF534" s="1630" t="str">
        <f>IF(T534="","",T534)</f>
        <v/>
      </c>
      <c r="BG534" s="1630"/>
      <c r="BH534" s="1630"/>
      <c r="BI534" s="1641">
        <v>0</v>
      </c>
    </row>
    <row customHeight="1" ht="14.25">
      <c r="A535" s="1369"/>
      <c r="B535" s="1369"/>
      <c r="C535" s="1369"/>
      <c r="D535" s="1369"/>
      <c r="E535" s="2265"/>
      <c r="F535" s="2265"/>
      <c r="G535" s="2265"/>
      <c r="H535" s="2265"/>
      <c r="I535" s="2292"/>
      <c r="J535" s="2292"/>
      <c r="K535" s="2262" t="str">
        <f>S529&amp;".1"</f>
        <v>.1.1.1.1</v>
      </c>
      <c r="L535" s="1375"/>
      <c r="M535" s="1782"/>
      <c r="N535" s="1782"/>
      <c r="O535" s="1782"/>
      <c r="P535" s="2380"/>
      <c r="Q535" s="2380"/>
      <c r="R535" s="2353">
        <v>1</v>
      </c>
      <c r="S535" s="2347" t="str">
        <f>$K535</f>
        <v>.1.1.1.1</v>
      </c>
      <c r="T535" s="2366"/>
      <c r="U535" s="306"/>
      <c r="V535" s="757"/>
      <c r="W535" s="1263"/>
      <c r="X535" s="757"/>
      <c r="Y535" s="1263"/>
      <c r="Z535" s="2608"/>
      <c r="AA535" s="2113" t="s">
        <v>62</v>
      </c>
      <c r="AB535" s="2608"/>
      <c r="AC535" s="2113" t="s">
        <v>62</v>
      </c>
      <c r="AD535" s="2191" t="s">
        <v>62</v>
      </c>
      <c r="AE535" s="2332"/>
      <c r="AF535" s="2443">
        <v>1</v>
      </c>
      <c r="AG535" s="2369"/>
      <c r="AH535" s="2113" t="s">
        <v>62</v>
      </c>
      <c r="AI535" s="2332"/>
      <c r="AJ535" s="2443">
        <v>1</v>
      </c>
      <c r="AK535" s="2333" t="s">
        <v>28</v>
      </c>
      <c r="AL535" s="2113" t="s">
        <v>62</v>
      </c>
      <c r="AM535" s="2300"/>
      <c r="AN535" s="2443">
        <v>1</v>
      </c>
      <c r="AO535" s="3340" t="s">
        <v>28</v>
      </c>
      <c r="AP535" s="2364" t="s">
        <v>62</v>
      </c>
      <c r="AQ535" s="689" t="s">
        <v>253</v>
      </c>
      <c r="AR535" s="2443" t="s">
        <v>112</v>
      </c>
      <c r="AS535" s="2582" t="s">
        <v>541</v>
      </c>
      <c r="AT535" s="757"/>
      <c r="AU535" s="1263"/>
      <c r="AV535" s="757"/>
      <c r="AW535" s="1263">
        <v>14179.32</v>
      </c>
      <c r="AX535" s="2608">
        <v>46023.38444444445</v>
      </c>
      <c r="AY535" s="2113" t="s">
        <v>62</v>
      </c>
      <c r="AZ535" s="2608">
        <v>46387.39585648148</v>
      </c>
      <c r="BA535" s="2113" t="s">
        <v>62</v>
      </c>
      <c r="BB535" s="1354"/>
      <c r="BC535" s="2259" t="s">
        <v>514</v>
      </c>
      <c r="BD535" s="1648"/>
      <c r="BE535" s="1630"/>
      <c r="BF535" s="1630" t="str">
        <f>IF(T535="","",T535)</f>
        <v/>
      </c>
      <c r="BG535" s="1630"/>
      <c r="BH535" s="1630"/>
      <c r="BI535" s="1641">
        <v>0</v>
      </c>
    </row>
    <row customHeight="1" ht="14.25">
      <c r="A536" s="1369"/>
      <c r="B536" s="1369"/>
      <c r="C536" s="1369"/>
      <c r="D536" s="1369"/>
      <c r="E536" s="2265"/>
      <c r="F536" s="2265"/>
      <c r="G536" s="2265"/>
      <c r="H536" s="2265"/>
      <c r="I536" s="2292"/>
      <c r="J536" s="2292"/>
      <c r="K536" s="2262" t="str">
        <f>S532&amp;".1"</f>
        <v>.1</v>
      </c>
      <c r="L536" s="1375"/>
      <c r="M536" s="1782"/>
      <c r="N536" s="1782"/>
      <c r="O536" s="1782"/>
      <c r="P536" s="2380"/>
      <c r="Q536" s="2380"/>
      <c r="R536" s="2353">
        <v>1</v>
      </c>
      <c r="S536" s="2347" t="str">
        <f>$K536</f>
        <v>.1</v>
      </c>
      <c r="T536" s="2366"/>
      <c r="U536" s="306"/>
      <c r="V536" s="757"/>
      <c r="W536" s="1263"/>
      <c r="X536" s="757"/>
      <c r="Y536" s="1263"/>
      <c r="Z536" s="2608"/>
      <c r="AA536" s="2113" t="s">
        <v>62</v>
      </c>
      <c r="AB536" s="2608"/>
      <c r="AC536" s="2113" t="s">
        <v>62</v>
      </c>
      <c r="AD536" s="2191" t="s">
        <v>62</v>
      </c>
      <c r="AE536" s="2332"/>
      <c r="AF536" s="2443">
        <v>1</v>
      </c>
      <c r="AG536" s="2369"/>
      <c r="AH536" s="2113" t="s">
        <v>62</v>
      </c>
      <c r="AI536" s="2332"/>
      <c r="AJ536" s="2443">
        <v>1</v>
      </c>
      <c r="AK536" s="2333" t="s">
        <v>28</v>
      </c>
      <c r="AL536" s="2113" t="s">
        <v>62</v>
      </c>
      <c r="AM536" s="2300"/>
      <c r="AN536" s="2443">
        <v>1</v>
      </c>
      <c r="AO536" s="3340" t="s">
        <v>28</v>
      </c>
      <c r="AP536" s="2364" t="s">
        <v>62</v>
      </c>
      <c r="AQ536" s="689" t="s">
        <v>253</v>
      </c>
      <c r="AR536" s="2443" t="s">
        <v>91</v>
      </c>
      <c r="AS536" s="2582" t="s">
        <v>541</v>
      </c>
      <c r="AT536" s="757"/>
      <c r="AU536" s="1263"/>
      <c r="AV536" s="757"/>
      <c r="AW536" s="1263">
        <v>11295.72</v>
      </c>
      <c r="AX536" s="2608">
        <v>46023.38447916666</v>
      </c>
      <c r="AY536" s="2113" t="s">
        <v>62</v>
      </c>
      <c r="AZ536" s="2608">
        <v>46387.3959375</v>
      </c>
      <c r="BA536" s="2113" t="s">
        <v>62</v>
      </c>
      <c r="BB536" s="1354"/>
      <c r="BC536" s="2259" t="s">
        <v>514</v>
      </c>
      <c r="BD536" s="1648"/>
      <c r="BE536" s="1630"/>
      <c r="BF536" s="1630" t="str">
        <f>IF(T536="","",T536)</f>
        <v/>
      </c>
      <c r="BG536" s="1630"/>
      <c r="BH536" s="1630"/>
      <c r="BI536" s="1641">
        <v>0</v>
      </c>
    </row>
    <row customHeight="1" ht="14.25">
      <c r="A537" s="1369"/>
      <c r="B537" s="1369"/>
      <c r="C537" s="1369"/>
      <c r="D537" s="1369"/>
      <c r="E537" s="2265"/>
      <c r="F537" s="2265"/>
      <c r="G537" s="2265"/>
      <c r="H537" s="2265"/>
      <c r="I537" s="2292"/>
      <c r="J537" s="2292"/>
      <c r="K537" s="2262" t="str">
        <f>S533&amp;".1"</f>
        <v>.1</v>
      </c>
      <c r="L537" s="1375"/>
      <c r="M537" s="1782"/>
      <c r="N537" s="1782"/>
      <c r="O537" s="1782"/>
      <c r="P537" s="2380"/>
      <c r="Q537" s="2380"/>
      <c r="R537" s="2353">
        <v>1</v>
      </c>
      <c r="S537" s="2347" t="str">
        <f>$K537</f>
        <v>.1</v>
      </c>
      <c r="T537" s="2366"/>
      <c r="U537" s="306"/>
      <c r="V537" s="757"/>
      <c r="W537" s="1263"/>
      <c r="X537" s="757"/>
      <c r="Y537" s="1263"/>
      <c r="Z537" s="2608"/>
      <c r="AA537" s="2113" t="s">
        <v>62</v>
      </c>
      <c r="AB537" s="2608"/>
      <c r="AC537" s="2113" t="s">
        <v>62</v>
      </c>
      <c r="AD537" s="2191" t="s">
        <v>62</v>
      </c>
      <c r="AE537" s="2332"/>
      <c r="AF537" s="2443">
        <v>1</v>
      </c>
      <c r="AG537" s="2369"/>
      <c r="AH537" s="2113" t="s">
        <v>62</v>
      </c>
      <c r="AI537" s="2332"/>
      <c r="AJ537" s="2443">
        <v>1</v>
      </c>
      <c r="AK537" s="2333" t="s">
        <v>28</v>
      </c>
      <c r="AL537" s="2113" t="s">
        <v>62</v>
      </c>
      <c r="AM537" s="2300"/>
      <c r="AN537" s="2443">
        <v>1</v>
      </c>
      <c r="AO537" s="3340" t="s">
        <v>28</v>
      </c>
      <c r="AP537" s="2364" t="s">
        <v>62</v>
      </c>
      <c r="AQ537" s="689" t="s">
        <v>253</v>
      </c>
      <c r="AR537" s="2443" t="s">
        <v>92</v>
      </c>
      <c r="AS537" s="2582" t="s">
        <v>541</v>
      </c>
      <c r="AT537" s="757"/>
      <c r="AU537" s="1263"/>
      <c r="AV537" s="757"/>
      <c r="AW537" s="1263">
        <v>14458.33</v>
      </c>
      <c r="AX537" s="2608">
        <v>46023.38450231482</v>
      </c>
      <c r="AY537" s="2113" t="s">
        <v>62</v>
      </c>
      <c r="AZ537" s="2608">
        <v>46387.39604166667</v>
      </c>
      <c r="BA537" s="2113" t="s">
        <v>62</v>
      </c>
      <c r="BB537" s="1354"/>
      <c r="BC537" s="2259" t="s">
        <v>514</v>
      </c>
      <c r="BD537" s="1648"/>
      <c r="BE537" s="1630"/>
      <c r="BF537" s="1630" t="str">
        <f>IF(T537="","",T537)</f>
        <v/>
      </c>
      <c r="BG537" s="1630"/>
      <c r="BH537" s="1630"/>
      <c r="BI537" s="1641">
        <v>0</v>
      </c>
    </row>
    <row customHeight="1" ht="14.25">
      <c r="A538" s="1369"/>
      <c r="B538" s="1369"/>
      <c r="C538" s="1369"/>
      <c r="D538" s="1369"/>
      <c r="E538" s="2265"/>
      <c r="F538" s="2265"/>
      <c r="G538" s="2265"/>
      <c r="H538" s="2265"/>
      <c r="I538" s="2292"/>
      <c r="J538" s="2292"/>
      <c r="K538" s="2262"/>
      <c r="L538" s="1375"/>
      <c r="M538" s="1782"/>
      <c r="N538" s="1782"/>
      <c r="O538" s="1782"/>
      <c r="P538" s="2380"/>
      <c r="Q538" s="2380"/>
      <c r="R538" s="2353"/>
      <c r="S538" s="2348"/>
      <c r="T538" s="2367"/>
      <c r="U538" s="306"/>
      <c r="V538" s="7380"/>
      <c r="W538" s="7381"/>
      <c r="X538" s="7380"/>
      <c r="Y538" s="7381"/>
      <c r="Z538" s="7380"/>
      <c r="AA538" s="7380"/>
      <c r="AB538" s="7380"/>
      <c r="AC538" s="7380"/>
      <c r="AD538" s="2192"/>
      <c r="AE538" s="2332"/>
      <c r="AF538" s="2443"/>
      <c r="AG538" s="2369"/>
      <c r="AH538" s="2113"/>
      <c r="AI538" s="2332"/>
      <c r="AJ538" s="2443" t="s">
        <v>91</v>
      </c>
      <c r="AK538" s="2333"/>
      <c r="AL538" s="2113"/>
      <c r="AM538" s="2301"/>
      <c r="AN538" s="2443"/>
      <c r="AO538" s="3340" t="s">
        <v>28</v>
      </c>
      <c r="AP538" s="2365"/>
      <c r="AQ538" s="7382"/>
      <c r="AR538" s="7383"/>
      <c r="AS538" s="7425" t="s">
        <v>515</v>
      </c>
      <c r="AT538" s="7380"/>
      <c r="AU538" s="7381"/>
      <c r="AV538" s="7380"/>
      <c r="AW538" s="7381"/>
      <c r="AX538" s="7380"/>
      <c r="AY538" s="7380"/>
      <c r="AZ538" s="7380"/>
      <c r="BA538" s="7380"/>
      <c r="BB538" s="7385"/>
      <c r="BC538" s="2260"/>
      <c r="BD538" s="1648"/>
      <c r="BE538" s="1630"/>
      <c r="BF538" s="1630"/>
      <c r="BG538" s="1630"/>
      <c r="BH538" s="1630"/>
      <c r="BI538" s="1641">
        <v>0</v>
      </c>
    </row>
    <row customHeight="1" ht="14.25">
      <c r="A539" s="1369"/>
      <c r="B539" s="1369"/>
      <c r="C539" s="1369"/>
      <c r="D539" s="1369"/>
      <c r="E539" s="2265"/>
      <c r="F539" s="2265"/>
      <c r="G539" s="2265"/>
      <c r="H539" s="2265"/>
      <c r="I539" s="2292"/>
      <c r="J539" s="2292"/>
      <c r="K539" s="2262"/>
      <c r="L539" s="1375"/>
      <c r="M539" s="1782"/>
      <c r="N539" s="1782"/>
      <c r="O539" s="1782"/>
      <c r="P539" s="2380"/>
      <c r="Q539" s="2380"/>
      <c r="R539" s="2353"/>
      <c r="S539" s="2348"/>
      <c r="T539" s="2367"/>
      <c r="U539" s="306"/>
      <c r="V539" s="7380"/>
      <c r="W539" s="7381"/>
      <c r="X539" s="7380"/>
      <c r="Y539" s="7381"/>
      <c r="Z539" s="7380"/>
      <c r="AA539" s="7380"/>
      <c r="AB539" s="7380"/>
      <c r="AC539" s="7380"/>
      <c r="AD539" s="2192"/>
      <c r="AE539" s="2332"/>
      <c r="AF539" s="2443"/>
      <c r="AG539" s="2369"/>
      <c r="AH539" s="2113"/>
      <c r="AI539" s="2332"/>
      <c r="AJ539" s="2443" t="s">
        <v>91</v>
      </c>
      <c r="AK539" s="2333"/>
      <c r="AL539" s="2113"/>
      <c r="AM539" s="7382"/>
      <c r="AN539" s="7386"/>
      <c r="AO539" s="7426" t="s">
        <v>516</v>
      </c>
      <c r="AP539" s="7383"/>
      <c r="AQ539" s="7383"/>
      <c r="AR539" s="7383"/>
      <c r="AS539" s="7380"/>
      <c r="AT539" s="7380"/>
      <c r="AU539" s="7381"/>
      <c r="AV539" s="7380"/>
      <c r="AW539" s="7381"/>
      <c r="AX539" s="7380"/>
      <c r="AY539" s="7380"/>
      <c r="AZ539" s="7380"/>
      <c r="BA539" s="7380"/>
      <c r="BB539" s="7385"/>
      <c r="BC539" s="2260"/>
      <c r="BD539" s="1648"/>
      <c r="BE539" s="1630"/>
      <c r="BF539" s="1630"/>
      <c r="BG539" s="1630"/>
      <c r="BH539" s="1630"/>
      <c r="BI539" s="1641">
        <v>0</v>
      </c>
    </row>
    <row customHeight="1" ht="14.25">
      <c r="A540" s="1369"/>
      <c r="B540" s="1369"/>
      <c r="C540" s="1369"/>
      <c r="D540" s="1369"/>
      <c r="E540" s="2265"/>
      <c r="F540" s="2265"/>
      <c r="G540" s="2265"/>
      <c r="H540" s="2265"/>
      <c r="I540" s="2292"/>
      <c r="J540" s="2292"/>
      <c r="K540" s="2262" t="str">
        <f>S533&amp;".1"</f>
        <v>.1</v>
      </c>
      <c r="L540" s="1375"/>
      <c r="M540" s="1782"/>
      <c r="N540" s="1782"/>
      <c r="O540" s="1782"/>
      <c r="P540" s="2380"/>
      <c r="Q540" s="2380"/>
      <c r="R540" s="2353">
        <v>1</v>
      </c>
      <c r="S540" s="2347" t="str">
        <f>$K540</f>
        <v>.1</v>
      </c>
      <c r="T540" s="2366"/>
      <c r="U540" s="306"/>
      <c r="V540" s="757"/>
      <c r="W540" s="1263"/>
      <c r="X540" s="757"/>
      <c r="Y540" s="1263"/>
      <c r="Z540" s="2608"/>
      <c r="AA540" s="2113" t="s">
        <v>62</v>
      </c>
      <c r="AB540" s="2608"/>
      <c r="AC540" s="2113" t="s">
        <v>62</v>
      </c>
      <c r="AD540" s="2191" t="s">
        <v>62</v>
      </c>
      <c r="AE540" s="2332"/>
      <c r="AF540" s="2443">
        <v>1</v>
      </c>
      <c r="AG540" s="2369"/>
      <c r="AH540" s="2113" t="s">
        <v>62</v>
      </c>
      <c r="AI540" s="689" t="s">
        <v>253</v>
      </c>
      <c r="AJ540" s="2443" t="s">
        <v>113</v>
      </c>
      <c r="AK540" s="2333" t="s">
        <v>536</v>
      </c>
      <c r="AL540" s="2113" t="s">
        <v>19</v>
      </c>
      <c r="AM540" s="2300"/>
      <c r="AN540" s="2443">
        <v>1</v>
      </c>
      <c r="AO540" s="3340" t="s">
        <v>28</v>
      </c>
      <c r="AP540" s="2364" t="s">
        <v>62</v>
      </c>
      <c r="AQ540" s="317"/>
      <c r="AR540" s="2443">
        <v>1</v>
      </c>
      <c r="AS540" s="2582" t="s">
        <v>541</v>
      </c>
      <c r="AT540" s="757"/>
      <c r="AU540" s="1263"/>
      <c r="AV540" s="757"/>
      <c r="AW540" s="1263">
        <v>14218.03</v>
      </c>
      <c r="AX540" s="2608">
        <v>46023.384560185186</v>
      </c>
      <c r="AY540" s="2113" t="s">
        <v>62</v>
      </c>
      <c r="AZ540" s="2608">
        <v>46387.396145833336</v>
      </c>
      <c r="BA540" s="2113" t="s">
        <v>62</v>
      </c>
      <c r="BB540" s="1354"/>
      <c r="BC540" s="2259" t="s">
        <v>514</v>
      </c>
      <c r="BD540" s="1648"/>
      <c r="BE540" s="1630"/>
      <c r="BF540" s="1630" t="str">
        <f>IF(T540="","",T540)</f>
        <v/>
      </c>
      <c r="BG540" s="1630"/>
      <c r="BH540" s="1630"/>
      <c r="BI540" s="1641">
        <v>0</v>
      </c>
    </row>
    <row customHeight="1" ht="14.25">
      <c r="A541" s="1369"/>
      <c r="B541" s="1369"/>
      <c r="C541" s="1369"/>
      <c r="D541" s="1369"/>
      <c r="E541" s="2265"/>
      <c r="F541" s="2265"/>
      <c r="G541" s="2265"/>
      <c r="H541" s="2265"/>
      <c r="I541" s="2292"/>
      <c r="J541" s="2292"/>
      <c r="K541" s="2262" t="str">
        <f>S535&amp;".1"</f>
        <v>.1.1.1.1.1</v>
      </c>
      <c r="L541" s="1375"/>
      <c r="M541" s="1782"/>
      <c r="N541" s="1782"/>
      <c r="O541" s="1782"/>
      <c r="P541" s="2380"/>
      <c r="Q541" s="2380"/>
      <c r="R541" s="2353">
        <v>1</v>
      </c>
      <c r="S541" s="2347" t="str">
        <f>$K541</f>
        <v>.1.1.1.1.1</v>
      </c>
      <c r="T541" s="2366"/>
      <c r="U541" s="306"/>
      <c r="V541" s="757"/>
      <c r="W541" s="1263"/>
      <c r="X541" s="757"/>
      <c r="Y541" s="1263"/>
      <c r="Z541" s="2608"/>
      <c r="AA541" s="2113" t="s">
        <v>62</v>
      </c>
      <c r="AB541" s="2608"/>
      <c r="AC541" s="2113" t="s">
        <v>62</v>
      </c>
      <c r="AD541" s="2191" t="s">
        <v>62</v>
      </c>
      <c r="AE541" s="2332"/>
      <c r="AF541" s="2443">
        <v>1</v>
      </c>
      <c r="AG541" s="2369"/>
      <c r="AH541" s="2113" t="s">
        <v>62</v>
      </c>
      <c r="AI541" s="2332"/>
      <c r="AJ541" s="2443">
        <v>1</v>
      </c>
      <c r="AK541" s="2333" t="s">
        <v>28</v>
      </c>
      <c r="AL541" s="2113" t="s">
        <v>62</v>
      </c>
      <c r="AM541" s="2300"/>
      <c r="AN541" s="2443">
        <v>1</v>
      </c>
      <c r="AO541" s="3340" t="s">
        <v>28</v>
      </c>
      <c r="AP541" s="2364" t="s">
        <v>62</v>
      </c>
      <c r="AQ541" s="689" t="s">
        <v>253</v>
      </c>
      <c r="AR541" s="2443" t="s">
        <v>112</v>
      </c>
      <c r="AS541" s="2582" t="s">
        <v>541</v>
      </c>
      <c r="AT541" s="757"/>
      <c r="AU541" s="1263"/>
      <c r="AV541" s="757"/>
      <c r="AW541" s="1263">
        <v>17425.44</v>
      </c>
      <c r="AX541" s="2608">
        <v>46023.38458333333</v>
      </c>
      <c r="AY541" s="2113" t="s">
        <v>62</v>
      </c>
      <c r="AZ541" s="2608">
        <v>46387.39628472222</v>
      </c>
      <c r="BA541" s="2113" t="s">
        <v>62</v>
      </c>
      <c r="BB541" s="1354"/>
      <c r="BC541" s="2259" t="s">
        <v>514</v>
      </c>
      <c r="BD541" s="1648"/>
      <c r="BE541" s="1630"/>
      <c r="BF541" s="1630" t="str">
        <f>IF(T541="","",T541)</f>
        <v/>
      </c>
      <c r="BG541" s="1630"/>
      <c r="BH541" s="1630"/>
      <c r="BI541" s="1641">
        <v>0</v>
      </c>
    </row>
    <row customHeight="1" ht="14.25">
      <c r="A542" s="1369"/>
      <c r="B542" s="1369"/>
      <c r="C542" s="1369"/>
      <c r="D542" s="1369"/>
      <c r="E542" s="2265"/>
      <c r="F542" s="2265"/>
      <c r="G542" s="2265"/>
      <c r="H542" s="2265"/>
      <c r="I542" s="2292"/>
      <c r="J542" s="2292"/>
      <c r="K542" s="2262"/>
      <c r="L542" s="1375"/>
      <c r="M542" s="1782"/>
      <c r="N542" s="1782"/>
      <c r="O542" s="1782"/>
      <c r="P542" s="2380"/>
      <c r="Q542" s="2380"/>
      <c r="R542" s="2353"/>
      <c r="S542" s="2348"/>
      <c r="T542" s="2367"/>
      <c r="U542" s="306"/>
      <c r="V542" s="7380"/>
      <c r="W542" s="7381"/>
      <c r="X542" s="7380"/>
      <c r="Y542" s="7381"/>
      <c r="Z542" s="7380"/>
      <c r="AA542" s="7380"/>
      <c r="AB542" s="7380"/>
      <c r="AC542" s="7380"/>
      <c r="AD542" s="2192"/>
      <c r="AE542" s="2332"/>
      <c r="AF542" s="2443"/>
      <c r="AG542" s="2369"/>
      <c r="AH542" s="2113"/>
      <c r="AI542" s="2332"/>
      <c r="AJ542" s="2443" t="s">
        <v>92</v>
      </c>
      <c r="AK542" s="2333"/>
      <c r="AL542" s="2113"/>
      <c r="AM542" s="2301"/>
      <c r="AN542" s="2443"/>
      <c r="AO542" s="3340" t="s">
        <v>28</v>
      </c>
      <c r="AP542" s="2365"/>
      <c r="AQ542" s="7382"/>
      <c r="AR542" s="7383"/>
      <c r="AS542" s="7427" t="s">
        <v>515</v>
      </c>
      <c r="AT542" s="7380"/>
      <c r="AU542" s="7381"/>
      <c r="AV542" s="7380"/>
      <c r="AW542" s="7381"/>
      <c r="AX542" s="7380"/>
      <c r="AY542" s="7380"/>
      <c r="AZ542" s="7380"/>
      <c r="BA542" s="7380"/>
      <c r="BB542" s="7385"/>
      <c r="BC542" s="2260"/>
      <c r="BD542" s="1648"/>
      <c r="BE542" s="1630"/>
      <c r="BF542" s="1630"/>
      <c r="BG542" s="1630"/>
      <c r="BH542" s="1630"/>
      <c r="BI542" s="1641">
        <v>0</v>
      </c>
    </row>
    <row customHeight="1" ht="14.25">
      <c r="A543" s="1369"/>
      <c r="B543" s="1369"/>
      <c r="C543" s="1369"/>
      <c r="D543" s="1369"/>
      <c r="E543" s="2265"/>
      <c r="F543" s="2265"/>
      <c r="G543" s="2265"/>
      <c r="H543" s="2265"/>
      <c r="I543" s="2292"/>
      <c r="J543" s="2292"/>
      <c r="K543" s="2262"/>
      <c r="L543" s="1375"/>
      <c r="M543" s="1782"/>
      <c r="N543" s="1782"/>
      <c r="O543" s="1782"/>
      <c r="P543" s="2380"/>
      <c r="Q543" s="2380"/>
      <c r="R543" s="2353"/>
      <c r="S543" s="2348"/>
      <c r="T543" s="2367"/>
      <c r="U543" s="306"/>
      <c r="V543" s="7380"/>
      <c r="W543" s="7381"/>
      <c r="X543" s="7380"/>
      <c r="Y543" s="7381"/>
      <c r="Z543" s="7380"/>
      <c r="AA543" s="7380"/>
      <c r="AB543" s="7380"/>
      <c r="AC543" s="7380"/>
      <c r="AD543" s="2192"/>
      <c r="AE543" s="2332"/>
      <c r="AF543" s="2443"/>
      <c r="AG543" s="2369"/>
      <c r="AH543" s="2113"/>
      <c r="AI543" s="2332"/>
      <c r="AJ543" s="2443" t="s">
        <v>92</v>
      </c>
      <c r="AK543" s="2333"/>
      <c r="AL543" s="2113"/>
      <c r="AM543" s="7382"/>
      <c r="AN543" s="7386"/>
      <c r="AO543" s="7428" t="s">
        <v>516</v>
      </c>
      <c r="AP543" s="7383"/>
      <c r="AQ543" s="7383"/>
      <c r="AR543" s="7383"/>
      <c r="AS543" s="7380"/>
      <c r="AT543" s="7380"/>
      <c r="AU543" s="7381"/>
      <c r="AV543" s="7380"/>
      <c r="AW543" s="7381"/>
      <c r="AX543" s="7380"/>
      <c r="AY543" s="7380"/>
      <c r="AZ543" s="7380"/>
      <c r="BA543" s="7380"/>
      <c r="BB543" s="7385"/>
      <c r="BC543" s="2260"/>
      <c r="BD543" s="1648"/>
      <c r="BE543" s="1630"/>
      <c r="BF543" s="1630"/>
      <c r="BG543" s="1630"/>
      <c r="BH543" s="1630"/>
      <c r="BI543" s="1641">
        <v>0</v>
      </c>
    </row>
    <row customHeight="1" ht="14.25">
      <c r="A544" s="1369"/>
      <c r="B544" s="1369"/>
      <c r="C544" s="1369"/>
      <c r="D544" s="1369"/>
      <c r="E544" s="2265"/>
      <c r="F544" s="2265"/>
      <c r="G544" s="2265"/>
      <c r="H544" s="2265"/>
      <c r="I544" s="2292"/>
      <c r="J544" s="2292"/>
      <c r="K544" s="2262" t="str">
        <f>S539&amp;".1"</f>
        <v>.1</v>
      </c>
      <c r="L544" s="1375"/>
      <c r="M544" s="1782"/>
      <c r="N544" s="1782"/>
      <c r="O544" s="1782"/>
      <c r="P544" s="2380"/>
      <c r="Q544" s="2380"/>
      <c r="R544" s="2353">
        <v>1</v>
      </c>
      <c r="S544" s="2347" t="str">
        <f>$K544</f>
        <v>.1</v>
      </c>
      <c r="T544" s="2366"/>
      <c r="U544" s="306"/>
      <c r="V544" s="757"/>
      <c r="W544" s="1263"/>
      <c r="X544" s="757"/>
      <c r="Y544" s="1263"/>
      <c r="Z544" s="2608"/>
      <c r="AA544" s="2113" t="s">
        <v>62</v>
      </c>
      <c r="AB544" s="2608"/>
      <c r="AC544" s="2113" t="s">
        <v>62</v>
      </c>
      <c r="AD544" s="2191" t="s">
        <v>62</v>
      </c>
      <c r="AE544" s="2332"/>
      <c r="AF544" s="2443">
        <v>1</v>
      </c>
      <c r="AG544" s="2369"/>
      <c r="AH544" s="2113" t="s">
        <v>62</v>
      </c>
      <c r="AI544" s="689" t="s">
        <v>253</v>
      </c>
      <c r="AJ544" s="2443" t="s">
        <v>93</v>
      </c>
      <c r="AK544" s="2333" t="s">
        <v>537</v>
      </c>
      <c r="AL544" s="2113" t="s">
        <v>19</v>
      </c>
      <c r="AM544" s="2300"/>
      <c r="AN544" s="2443">
        <v>1</v>
      </c>
      <c r="AO544" s="3340" t="s">
        <v>28</v>
      </c>
      <c r="AP544" s="2364" t="s">
        <v>62</v>
      </c>
      <c r="AQ544" s="317"/>
      <c r="AR544" s="2443">
        <v>1</v>
      </c>
      <c r="AS544" s="2582" t="s">
        <v>541</v>
      </c>
      <c r="AT544" s="757"/>
      <c r="AU544" s="1263"/>
      <c r="AV544" s="757"/>
      <c r="AW544" s="1263">
        <v>17159.6</v>
      </c>
      <c r="AX544" s="2608">
        <v>46023.38462962963</v>
      </c>
      <c r="AY544" s="2113" t="s">
        <v>62</v>
      </c>
      <c r="AZ544" s="2608">
        <v>46387.39637731481</v>
      </c>
      <c r="BA544" s="2113" t="s">
        <v>62</v>
      </c>
      <c r="BB544" s="1354"/>
      <c r="BC544" s="2259" t="s">
        <v>514</v>
      </c>
      <c r="BD544" s="1648"/>
      <c r="BE544" s="1630"/>
      <c r="BF544" s="1630" t="str">
        <f>IF(T544="","",T544)</f>
        <v/>
      </c>
      <c r="BG544" s="1630"/>
      <c r="BH544" s="1630"/>
      <c r="BI544" s="1641">
        <v>0</v>
      </c>
    </row>
    <row customHeight="1" ht="14.25">
      <c r="A545" s="1369"/>
      <c r="B545" s="1369"/>
      <c r="C545" s="1369"/>
      <c r="D545" s="1369"/>
      <c r="E545" s="2265"/>
      <c r="F545" s="2265"/>
      <c r="G545" s="2265"/>
      <c r="H545" s="2265"/>
      <c r="I545" s="2292"/>
      <c r="J545" s="2292"/>
      <c r="K545" s="2262" t="str">
        <f>S541&amp;".1"</f>
        <v>.1.1.1.1.1.1</v>
      </c>
      <c r="L545" s="1375"/>
      <c r="M545" s="1782"/>
      <c r="N545" s="1782"/>
      <c r="O545" s="1782"/>
      <c r="P545" s="2380"/>
      <c r="Q545" s="2380"/>
      <c r="R545" s="2353">
        <v>1</v>
      </c>
      <c r="S545" s="2347" t="str">
        <f>$K545</f>
        <v>.1.1.1.1.1.1</v>
      </c>
      <c r="T545" s="2366"/>
      <c r="U545" s="306"/>
      <c r="V545" s="757"/>
      <c r="W545" s="1263"/>
      <c r="X545" s="757"/>
      <c r="Y545" s="1263"/>
      <c r="Z545" s="2608"/>
      <c r="AA545" s="2113" t="s">
        <v>62</v>
      </c>
      <c r="AB545" s="2608"/>
      <c r="AC545" s="2113" t="s">
        <v>62</v>
      </c>
      <c r="AD545" s="2191" t="s">
        <v>62</v>
      </c>
      <c r="AE545" s="2332"/>
      <c r="AF545" s="2443">
        <v>1</v>
      </c>
      <c r="AG545" s="2369"/>
      <c r="AH545" s="2113" t="s">
        <v>62</v>
      </c>
      <c r="AI545" s="2332"/>
      <c r="AJ545" s="2443">
        <v>1</v>
      </c>
      <c r="AK545" s="2333" t="s">
        <v>28</v>
      </c>
      <c r="AL545" s="2113" t="s">
        <v>62</v>
      </c>
      <c r="AM545" s="2300"/>
      <c r="AN545" s="2443">
        <v>1</v>
      </c>
      <c r="AO545" s="3340" t="s">
        <v>28</v>
      </c>
      <c r="AP545" s="2364" t="s">
        <v>62</v>
      </c>
      <c r="AQ545" s="689" t="s">
        <v>253</v>
      </c>
      <c r="AR545" s="2443" t="s">
        <v>112</v>
      </c>
      <c r="AS545" s="2582" t="s">
        <v>541</v>
      </c>
      <c r="AT545" s="757"/>
      <c r="AU545" s="1263"/>
      <c r="AV545" s="757"/>
      <c r="AW545" s="1263">
        <v>20558.73</v>
      </c>
      <c r="AX545" s="2608">
        <v>46023.384664351855</v>
      </c>
      <c r="AY545" s="2113" t="s">
        <v>62</v>
      </c>
      <c r="AZ545" s="2608">
        <v>46387.396458333336</v>
      </c>
      <c r="BA545" s="2113" t="s">
        <v>62</v>
      </c>
      <c r="BB545" s="1354"/>
      <c r="BC545" s="2259" t="s">
        <v>514</v>
      </c>
      <c r="BD545" s="1648"/>
      <c r="BE545" s="1630"/>
      <c r="BF545" s="1630" t="str">
        <f>IF(T545="","",T545)</f>
        <v/>
      </c>
      <c r="BG545" s="1630"/>
      <c r="BH545" s="1630"/>
      <c r="BI545" s="1641">
        <v>0</v>
      </c>
    </row>
    <row customHeight="1" ht="14.25">
      <c r="A546" s="1369"/>
      <c r="B546" s="1369"/>
      <c r="C546" s="1369"/>
      <c r="D546" s="1369"/>
      <c r="E546" s="2265"/>
      <c r="F546" s="2265"/>
      <c r="G546" s="2265"/>
      <c r="H546" s="2265"/>
      <c r="I546" s="2292"/>
      <c r="J546" s="2292"/>
      <c r="K546" s="2262"/>
      <c r="L546" s="1375"/>
      <c r="M546" s="1782"/>
      <c r="N546" s="1782"/>
      <c r="O546" s="1782"/>
      <c r="P546" s="2380"/>
      <c r="Q546" s="2380"/>
      <c r="R546" s="2353"/>
      <c r="S546" s="2348"/>
      <c r="T546" s="2367"/>
      <c r="U546" s="306"/>
      <c r="V546" s="7380"/>
      <c r="W546" s="7381"/>
      <c r="X546" s="7380"/>
      <c r="Y546" s="7381"/>
      <c r="Z546" s="7380"/>
      <c r="AA546" s="7380"/>
      <c r="AB546" s="7380"/>
      <c r="AC546" s="7380"/>
      <c r="AD546" s="2192"/>
      <c r="AE546" s="2332"/>
      <c r="AF546" s="2443"/>
      <c r="AG546" s="2369"/>
      <c r="AH546" s="2113"/>
      <c r="AI546" s="2332"/>
      <c r="AJ546" s="2443" t="s">
        <v>113</v>
      </c>
      <c r="AK546" s="2333"/>
      <c r="AL546" s="2113"/>
      <c r="AM546" s="2301"/>
      <c r="AN546" s="2443"/>
      <c r="AO546" s="3340" t="s">
        <v>28</v>
      </c>
      <c r="AP546" s="2365"/>
      <c r="AQ546" s="7382"/>
      <c r="AR546" s="7383"/>
      <c r="AS546" s="7429" t="s">
        <v>515</v>
      </c>
      <c r="AT546" s="7380"/>
      <c r="AU546" s="7381"/>
      <c r="AV546" s="7380"/>
      <c r="AW546" s="7381"/>
      <c r="AX546" s="7380"/>
      <c r="AY546" s="7380"/>
      <c r="AZ546" s="7380"/>
      <c r="BA546" s="7380"/>
      <c r="BB546" s="7385"/>
      <c r="BC546" s="2260"/>
      <c r="BD546" s="1648"/>
      <c r="BE546" s="1630"/>
      <c r="BF546" s="1630"/>
      <c r="BG546" s="1630"/>
      <c r="BH546" s="1630"/>
      <c r="BI546" s="1641">
        <v>0</v>
      </c>
    </row>
    <row customHeight="1" ht="14.25">
      <c r="A547" s="1369"/>
      <c r="B547" s="1369"/>
      <c r="C547" s="1369"/>
      <c r="D547" s="1369"/>
      <c r="E547" s="2265"/>
      <c r="F547" s="2265"/>
      <c r="G547" s="2265"/>
      <c r="H547" s="2265"/>
      <c r="I547" s="2292"/>
      <c r="J547" s="2292"/>
      <c r="K547" s="2262"/>
      <c r="L547" s="1375"/>
      <c r="M547" s="1782"/>
      <c r="N547" s="1782"/>
      <c r="O547" s="1782"/>
      <c r="P547" s="2380"/>
      <c r="Q547" s="2380"/>
      <c r="R547" s="2353"/>
      <c r="S547" s="2348"/>
      <c r="T547" s="2367"/>
      <c r="U547" s="306"/>
      <c r="V547" s="7380"/>
      <c r="W547" s="7381"/>
      <c r="X547" s="7380"/>
      <c r="Y547" s="7381"/>
      <c r="Z547" s="7380"/>
      <c r="AA547" s="7380"/>
      <c r="AB547" s="7380"/>
      <c r="AC547" s="7380"/>
      <c r="AD547" s="2192"/>
      <c r="AE547" s="2332"/>
      <c r="AF547" s="2443"/>
      <c r="AG547" s="2369"/>
      <c r="AH547" s="2113"/>
      <c r="AI547" s="2332"/>
      <c r="AJ547" s="2443" t="s">
        <v>113</v>
      </c>
      <c r="AK547" s="2333"/>
      <c r="AL547" s="2113"/>
      <c r="AM547" s="7382"/>
      <c r="AN547" s="7386"/>
      <c r="AO547" s="7430" t="s">
        <v>516</v>
      </c>
      <c r="AP547" s="7383"/>
      <c r="AQ547" s="7383"/>
      <c r="AR547" s="7383"/>
      <c r="AS547" s="7380"/>
      <c r="AT547" s="7380"/>
      <c r="AU547" s="7381"/>
      <c r="AV547" s="7380"/>
      <c r="AW547" s="7381"/>
      <c r="AX547" s="7380"/>
      <c r="AY547" s="7380"/>
      <c r="AZ547" s="7380"/>
      <c r="BA547" s="7380"/>
      <c r="BB547" s="7385"/>
      <c r="BC547" s="2260"/>
      <c r="BD547" s="1648"/>
      <c r="BE547" s="1630"/>
      <c r="BF547" s="1630"/>
      <c r="BG547" s="1630"/>
      <c r="BH547" s="1630"/>
      <c r="BI547" s="1641">
        <v>0</v>
      </c>
    </row>
    <row customHeight="1" ht="14.25">
      <c r="A548" s="1369"/>
      <c r="B548" s="1369"/>
      <c r="C548" s="1369"/>
      <c r="D548" s="1369"/>
      <c r="E548" s="2265"/>
      <c r="F548" s="2265"/>
      <c r="G548" s="2265"/>
      <c r="H548" s="2265"/>
      <c r="I548" s="2292"/>
      <c r="J548" s="2292"/>
      <c r="K548" s="2262" t="str">
        <f>S450&amp;".2"</f>
        <v>3.1.1.2</v>
      </c>
      <c r="L548" s="1375"/>
      <c r="M548" s="1782"/>
      <c r="N548" s="1782"/>
      <c r="O548" s="1782"/>
      <c r="P548" s="2380"/>
      <c r="Q548" s="2380"/>
      <c r="R548" s="2353"/>
      <c r="S548" s="2348"/>
      <c r="T548" s="2367"/>
      <c r="U548" s="306"/>
      <c r="V548" s="7380"/>
      <c r="W548" s="7381"/>
      <c r="X548" s="7380"/>
      <c r="Y548" s="7381"/>
      <c r="Z548" s="7380"/>
      <c r="AA548" s="7380"/>
      <c r="AB548" s="7380"/>
      <c r="AC548" s="7380"/>
      <c r="AD548" s="2192"/>
      <c r="AE548" s="2332"/>
      <c r="AF548" s="2443"/>
      <c r="AG548" s="3339" t="s">
        <v>28</v>
      </c>
      <c r="AH548" s="2113"/>
      <c r="AI548" s="7408"/>
      <c r="AJ548" s="7409"/>
      <c r="AK548" s="7431" t="s">
        <v>517</v>
      </c>
      <c r="AL548" s="7380"/>
      <c r="AM548" s="7380"/>
      <c r="AN548" s="7380"/>
      <c r="AO548" s="7380"/>
      <c r="AP548" s="7380"/>
      <c r="AQ548" s="7380"/>
      <c r="AR548" s="7380"/>
      <c r="AS548" s="7380"/>
      <c r="AT548" s="7380"/>
      <c r="AU548" s="7381"/>
      <c r="AV548" s="7380"/>
      <c r="AW548" s="7381"/>
      <c r="AX548" s="7380"/>
      <c r="AY548" s="7380"/>
      <c r="AZ548" s="7380"/>
      <c r="BA548" s="7380"/>
      <c r="BB548" s="7385"/>
      <c r="BC548" s="2260"/>
      <c r="BD548" s="1648"/>
      <c r="BE548" s="1630"/>
      <c r="BF548" s="1630"/>
      <c r="BG548" s="1630"/>
      <c r="BH548" s="1630"/>
      <c r="BI548" s="1641">
        <v>0</v>
      </c>
    </row>
    <row customHeight="1" ht="14.25">
      <c r="A549" s="1369"/>
      <c r="B549" s="1369"/>
      <c r="C549" s="1369"/>
      <c r="D549" s="1369"/>
      <c r="E549" s="2265"/>
      <c r="F549" s="2265"/>
      <c r="G549" s="2265"/>
      <c r="H549" s="2265"/>
      <c r="I549" s="2292"/>
      <c r="J549" s="2292"/>
      <c r="K549" s="2262" t="str">
        <f>S450&amp;".2"</f>
        <v>3.1.1.2</v>
      </c>
      <c r="L549" s="1375"/>
      <c r="M549" s="1782"/>
      <c r="N549" s="1782"/>
      <c r="O549" s="1782"/>
      <c r="P549" s="2380"/>
      <c r="Q549" s="2380"/>
      <c r="R549" s="2353"/>
      <c r="S549" s="2349"/>
      <c r="T549" s="2368"/>
      <c r="U549" s="306"/>
      <c r="V549" s="7380"/>
      <c r="W549" s="7432" t="str">
        <f>Z518&amp;"-"&amp;AB518</f>
        <v>-</v>
      </c>
      <c r="X549" s="7380"/>
      <c r="Y549" s="7433" t="str">
        <f>AB518&amp;"-"&amp;AD518</f>
        <v>-нет</v>
      </c>
      <c r="Z549" s="7380"/>
      <c r="AA549" s="7380"/>
      <c r="AB549" s="7380"/>
      <c r="AC549" s="7380"/>
      <c r="AD549" s="2118"/>
      <c r="AE549" s="7413"/>
      <c r="AF549" s="7414"/>
      <c r="AG549" s="7434" t="s">
        <v>518</v>
      </c>
      <c r="AH549" s="7380"/>
      <c r="AI549" s="7380"/>
      <c r="AJ549" s="7380"/>
      <c r="AK549" s="7380"/>
      <c r="AL549" s="7380"/>
      <c r="AM549" s="7380"/>
      <c r="AN549" s="7380"/>
      <c r="AO549" s="7380"/>
      <c r="AP549" s="7380"/>
      <c r="AQ549" s="7380"/>
      <c r="AR549" s="7380"/>
      <c r="AS549" s="7380"/>
      <c r="AT549" s="7380"/>
      <c r="AU549" s="7435" t="str">
        <f>AX518&amp;"-"&amp;AZ518</f>
        <v>46023.38402777778-46387.39482638889</v>
      </c>
      <c r="AV549" s="7380"/>
      <c r="AW549" s="7436" t="str">
        <f>AZ518&amp;"-"&amp;BB518</f>
        <v>46387.39482638889-</v>
      </c>
      <c r="AX549" s="7380"/>
      <c r="AY549" s="7380"/>
      <c r="AZ549" s="7380"/>
      <c r="BA549" s="7380"/>
      <c r="BB549" s="7437" t="str">
        <f>BE518&amp;"-"&amp;BG518</f>
        <v>-</v>
      </c>
      <c r="BC549" s="2260"/>
      <c r="BD549" s="1648"/>
      <c r="BE549" s="1630"/>
      <c r="BF549" s="1630" t="str">
        <f>IF(T549="","",T549)</f>
        <v/>
      </c>
      <c r="BG549" s="1630"/>
      <c r="BH549" s="1630"/>
      <c r="BI549" s="1641">
        <v>0</v>
      </c>
    </row>
    <row customHeight="1" ht="14.25">
      <c r="A550" s="1369"/>
      <c r="B550" s="1369"/>
      <c r="C550" s="1369"/>
      <c r="D550" s="1369"/>
      <c r="E550" s="2265"/>
      <c r="F550" s="2265"/>
      <c r="G550" s="2265"/>
      <c r="H550" s="2265"/>
      <c r="I550" s="2292"/>
      <c r="J550" s="2292"/>
      <c r="K550" s="2262" t="str">
        <f>S450&amp;".4"</f>
        <v>3.1.1.4</v>
      </c>
      <c r="L550" s="1375"/>
      <c r="M550" s="1782"/>
      <c r="N550" s="1782"/>
      <c r="O550" s="1782"/>
      <c r="P550" s="2380"/>
      <c r="Q550" s="2380"/>
      <c r="R550" s="689" t="s">
        <v>253</v>
      </c>
      <c r="S550" s="2347" t="str">
        <f>$K550</f>
        <v>3.1.1.4</v>
      </c>
      <c r="T550" s="2366" t="s">
        <v>540</v>
      </c>
      <c r="U550" s="306"/>
      <c r="V550" s="757"/>
      <c r="W550" s="1263"/>
      <c r="X550" s="757"/>
      <c r="Y550" s="1263"/>
      <c r="Z550" s="2608"/>
      <c r="AA550" s="2113" t="s">
        <v>62</v>
      </c>
      <c r="AB550" s="2608"/>
      <c r="AC550" s="2113" t="s">
        <v>62</v>
      </c>
      <c r="AD550" s="2191" t="s">
        <v>19</v>
      </c>
      <c r="AE550" s="2332"/>
      <c r="AF550" s="2443">
        <v>1</v>
      </c>
      <c r="AG550" s="3339" t="s">
        <v>28</v>
      </c>
      <c r="AH550" s="2113" t="s">
        <v>62</v>
      </c>
      <c r="AI550" s="2332"/>
      <c r="AJ550" s="2443">
        <v>1</v>
      </c>
      <c r="AK550" s="2333" t="s">
        <v>533</v>
      </c>
      <c r="AL550" s="2113" t="s">
        <v>19</v>
      </c>
      <c r="AM550" s="2300"/>
      <c r="AN550" s="2443">
        <v>1</v>
      </c>
      <c r="AO550" s="3340" t="s">
        <v>28</v>
      </c>
      <c r="AP550" s="2364" t="s">
        <v>62</v>
      </c>
      <c r="AQ550" s="317"/>
      <c r="AR550" s="2443">
        <v>1</v>
      </c>
      <c r="AS550" s="2582" t="s">
        <v>541</v>
      </c>
      <c r="AT550" s="757"/>
      <c r="AU550" s="1263"/>
      <c r="AV550" s="757"/>
      <c r="AW550" s="1263">
        <v>3993.59</v>
      </c>
      <c r="AX550" s="2608">
        <v>46023.38471064815</v>
      </c>
      <c r="AY550" s="2113" t="s">
        <v>62</v>
      </c>
      <c r="AZ550" s="2608">
        <v>46387.39653935185</v>
      </c>
      <c r="BA550" s="2113" t="s">
        <v>62</v>
      </c>
      <c r="BB550" s="1354"/>
      <c r="BC550" s="2259" t="s">
        <v>514</v>
      </c>
      <c r="BD550" s="1648"/>
      <c r="BE550" s="1630"/>
      <c r="BF550" s="1630" t="str">
        <f>IF(T550="","",T550)</f>
        <v>Наружные инженерные сети водопровода, разработка грунта с погрузкой в автотранспорт,трубы полиэтиленовые диаметром:</v>
      </c>
      <c r="BG550" s="1630"/>
      <c r="BH550" s="1630"/>
      <c r="BI550" s="1641">
        <v>0</v>
      </c>
    </row>
    <row customHeight="1" ht="14.25">
      <c r="A551" s="1369"/>
      <c r="B551" s="1369"/>
      <c r="C551" s="1369"/>
      <c r="D551" s="1369"/>
      <c r="E551" s="2265"/>
      <c r="F551" s="2265"/>
      <c r="G551" s="2265"/>
      <c r="H551" s="2265"/>
      <c r="I551" s="2292"/>
      <c r="J551" s="2292"/>
      <c r="K551" s="2262" t="str">
        <f>S523&amp;".1"</f>
        <v>.1</v>
      </c>
      <c r="L551" s="1375"/>
      <c r="M551" s="1782"/>
      <c r="N551" s="1782"/>
      <c r="O551" s="1782"/>
      <c r="P551" s="2380"/>
      <c r="Q551" s="2380"/>
      <c r="R551" s="2353">
        <v>1</v>
      </c>
      <c r="S551" s="2347" t="str">
        <f>$K551</f>
        <v>.1</v>
      </c>
      <c r="T551" s="2366"/>
      <c r="U551" s="306"/>
      <c r="V551" s="757"/>
      <c r="W551" s="1263"/>
      <c r="X551" s="757"/>
      <c r="Y551" s="1263"/>
      <c r="Z551" s="2608"/>
      <c r="AA551" s="2113" t="s">
        <v>62</v>
      </c>
      <c r="AB551" s="2608"/>
      <c r="AC551" s="2113" t="s">
        <v>62</v>
      </c>
      <c r="AD551" s="2191" t="s">
        <v>62</v>
      </c>
      <c r="AE551" s="2332"/>
      <c r="AF551" s="2443">
        <v>1</v>
      </c>
      <c r="AG551" s="2369"/>
      <c r="AH551" s="2113" t="s">
        <v>62</v>
      </c>
      <c r="AI551" s="2332"/>
      <c r="AJ551" s="2443">
        <v>1</v>
      </c>
      <c r="AK551" s="2333" t="s">
        <v>28</v>
      </c>
      <c r="AL551" s="2113" t="s">
        <v>62</v>
      </c>
      <c r="AM551" s="2300"/>
      <c r="AN551" s="2443">
        <v>1</v>
      </c>
      <c r="AO551" s="2363"/>
      <c r="AP551" s="2364" t="s">
        <v>62</v>
      </c>
      <c r="AQ551" s="689" t="s">
        <v>253</v>
      </c>
      <c r="AR551" s="2443" t="s">
        <v>112</v>
      </c>
      <c r="AS551" s="2582" t="s">
        <v>541</v>
      </c>
      <c r="AT551" s="757"/>
      <c r="AU551" s="1263"/>
      <c r="AV551" s="757"/>
      <c r="AW551" s="1263">
        <v>5134.05</v>
      </c>
      <c r="AX551" s="2608">
        <v>46023.38475694445</v>
      </c>
      <c r="AY551" s="2113" t="s">
        <v>62</v>
      </c>
      <c r="AZ551" s="2608">
        <v>46387.396631944444</v>
      </c>
      <c r="BA551" s="2113" t="s">
        <v>62</v>
      </c>
      <c r="BB551" s="1354"/>
      <c r="BC551" s="2259" t="s">
        <v>514</v>
      </c>
      <c r="BD551" s="1648"/>
      <c r="BE551" s="1630"/>
      <c r="BF551" s="1630" t="str">
        <f>IF(T551="","",T551)</f>
        <v/>
      </c>
      <c r="BG551" s="1630"/>
      <c r="BH551" s="1630"/>
      <c r="BI551" s="1641">
        <v>0</v>
      </c>
    </row>
    <row customHeight="1" ht="14.25">
      <c r="A552" s="1369"/>
      <c r="B552" s="1369"/>
      <c r="C552" s="1369"/>
      <c r="D552" s="1369"/>
      <c r="E552" s="2265"/>
      <c r="F552" s="2265"/>
      <c r="G552" s="2265"/>
      <c r="H552" s="2265"/>
      <c r="I552" s="2292"/>
      <c r="J552" s="2292"/>
      <c r="K552" s="2262" t="str">
        <f>S548&amp;".1"</f>
        <v>.1</v>
      </c>
      <c r="L552" s="1375"/>
      <c r="M552" s="1782"/>
      <c r="N552" s="1782"/>
      <c r="O552" s="1782"/>
      <c r="P552" s="2380"/>
      <c r="Q552" s="2380"/>
      <c r="R552" s="2353">
        <v>1</v>
      </c>
      <c r="S552" s="2347" t="str">
        <f>$K552</f>
        <v>.1</v>
      </c>
      <c r="T552" s="2366"/>
      <c r="U552" s="306"/>
      <c r="V552" s="757"/>
      <c r="W552" s="1263"/>
      <c r="X552" s="757"/>
      <c r="Y552" s="1263"/>
      <c r="Z552" s="2608"/>
      <c r="AA552" s="2113" t="s">
        <v>62</v>
      </c>
      <c r="AB552" s="2608"/>
      <c r="AC552" s="2113" t="s">
        <v>62</v>
      </c>
      <c r="AD552" s="2191" t="s">
        <v>62</v>
      </c>
      <c r="AE552" s="2332"/>
      <c r="AF552" s="2443">
        <v>1</v>
      </c>
      <c r="AG552" s="2369"/>
      <c r="AH552" s="2113" t="s">
        <v>62</v>
      </c>
      <c r="AI552" s="2332"/>
      <c r="AJ552" s="2443">
        <v>1</v>
      </c>
      <c r="AK552" s="2333" t="s">
        <v>28</v>
      </c>
      <c r="AL552" s="2113" t="s">
        <v>62</v>
      </c>
      <c r="AM552" s="2300"/>
      <c r="AN552" s="2443">
        <v>1</v>
      </c>
      <c r="AO552" s="2363"/>
      <c r="AP552" s="2364" t="s">
        <v>62</v>
      </c>
      <c r="AQ552" s="689" t="s">
        <v>253</v>
      </c>
      <c r="AR552" s="2443" t="s">
        <v>91</v>
      </c>
      <c r="AS552" s="2582" t="s">
        <v>541</v>
      </c>
      <c r="AT552" s="757"/>
      <c r="AU552" s="1263"/>
      <c r="AV552" s="757"/>
      <c r="AW552" s="1263">
        <v>5030.1</v>
      </c>
      <c r="AX552" s="2608">
        <v>46023.384791666664</v>
      </c>
      <c r="AY552" s="2113" t="s">
        <v>62</v>
      </c>
      <c r="AZ552" s="2608">
        <v>46387.39670138889</v>
      </c>
      <c r="BA552" s="2113" t="s">
        <v>62</v>
      </c>
      <c r="BB552" s="1354"/>
      <c r="BC552" s="2259" t="s">
        <v>514</v>
      </c>
      <c r="BD552" s="1648"/>
      <c r="BE552" s="1630"/>
      <c r="BF552" s="1630" t="str">
        <f>IF(T552="","",T552)</f>
        <v/>
      </c>
      <c r="BG552" s="1630"/>
      <c r="BH552" s="1630"/>
      <c r="BI552" s="1641">
        <v>0</v>
      </c>
    </row>
    <row customHeight="1" ht="14.25">
      <c r="A553" s="1369"/>
      <c r="B553" s="1369"/>
      <c r="C553" s="1369"/>
      <c r="D553" s="1369"/>
      <c r="E553" s="2265"/>
      <c r="F553" s="2265"/>
      <c r="G553" s="2265"/>
      <c r="H553" s="2265"/>
      <c r="I553" s="2292"/>
      <c r="J553" s="2292"/>
      <c r="K553" s="2262" t="str">
        <f>S549&amp;".1"</f>
        <v>.1</v>
      </c>
      <c r="L553" s="1375"/>
      <c r="M553" s="1782"/>
      <c r="N553" s="1782"/>
      <c r="O553" s="1782"/>
      <c r="P553" s="2380"/>
      <c r="Q553" s="2380"/>
      <c r="R553" s="2353">
        <v>1</v>
      </c>
      <c r="S553" s="2347" t="str">
        <f>$K553</f>
        <v>.1</v>
      </c>
      <c r="T553" s="2366"/>
      <c r="U553" s="306"/>
      <c r="V553" s="757"/>
      <c r="W553" s="1263"/>
      <c r="X553" s="757"/>
      <c r="Y553" s="1263"/>
      <c r="Z553" s="2608"/>
      <c r="AA553" s="2113" t="s">
        <v>62</v>
      </c>
      <c r="AB553" s="2608"/>
      <c r="AC553" s="2113" t="s">
        <v>62</v>
      </c>
      <c r="AD553" s="2191" t="s">
        <v>62</v>
      </c>
      <c r="AE553" s="2332"/>
      <c r="AF553" s="2443">
        <v>1</v>
      </c>
      <c r="AG553" s="2369"/>
      <c r="AH553" s="2113" t="s">
        <v>62</v>
      </c>
      <c r="AI553" s="2332"/>
      <c r="AJ553" s="2443">
        <v>1</v>
      </c>
      <c r="AK553" s="2333" t="s">
        <v>28</v>
      </c>
      <c r="AL553" s="2113" t="s">
        <v>62</v>
      </c>
      <c r="AM553" s="2300"/>
      <c r="AN553" s="2443">
        <v>1</v>
      </c>
      <c r="AO553" s="2363"/>
      <c r="AP553" s="2364" t="s">
        <v>62</v>
      </c>
      <c r="AQ553" s="689" t="s">
        <v>253</v>
      </c>
      <c r="AR553" s="2443" t="s">
        <v>92</v>
      </c>
      <c r="AS553" s="2582" t="s">
        <v>541</v>
      </c>
      <c r="AT553" s="757"/>
      <c r="AU553" s="1263"/>
      <c r="AV553" s="757"/>
      <c r="AW553" s="1263">
        <v>6648.85</v>
      </c>
      <c r="AX553" s="2608">
        <v>46023.38481481482</v>
      </c>
      <c r="AY553" s="2113" t="s">
        <v>62</v>
      </c>
      <c r="AZ553" s="2608">
        <v>46387.39677083334</v>
      </c>
      <c r="BA553" s="2113" t="s">
        <v>62</v>
      </c>
      <c r="BB553" s="1354"/>
      <c r="BC553" s="2259" t="s">
        <v>514</v>
      </c>
      <c r="BD553" s="1648"/>
      <c r="BE553" s="1630"/>
      <c r="BF553" s="1630" t="str">
        <f>IF(T553="","",T553)</f>
        <v/>
      </c>
      <c r="BG553" s="1630"/>
      <c r="BH553" s="1630"/>
      <c r="BI553" s="1641">
        <v>0</v>
      </c>
    </row>
    <row customHeight="1" ht="14.25">
      <c r="A554" s="1369"/>
      <c r="B554" s="1369"/>
      <c r="C554" s="1369"/>
      <c r="D554" s="1369"/>
      <c r="E554" s="2265"/>
      <c r="F554" s="2265"/>
      <c r="G554" s="2265"/>
      <c r="H554" s="2265"/>
      <c r="I554" s="2292"/>
      <c r="J554" s="2292"/>
      <c r="K554" s="2262" t="str">
        <f>S450&amp;".3"</f>
        <v>3.1.1.3</v>
      </c>
      <c r="L554" s="1375"/>
      <c r="M554" s="1782"/>
      <c r="N554" s="1782"/>
      <c r="O554" s="1782"/>
      <c r="P554" s="2380"/>
      <c r="Q554" s="2380"/>
      <c r="R554" s="2353"/>
      <c r="S554" s="2348"/>
      <c r="T554" s="2367"/>
      <c r="U554" s="306"/>
      <c r="V554" s="7380"/>
      <c r="W554" s="7381"/>
      <c r="X554" s="7380"/>
      <c r="Y554" s="7381"/>
      <c r="Z554" s="7380"/>
      <c r="AA554" s="7380"/>
      <c r="AB554" s="7380"/>
      <c r="AC554" s="7380"/>
      <c r="AD554" s="2192"/>
      <c r="AE554" s="2332"/>
      <c r="AF554" s="2443"/>
      <c r="AG554" s="3339" t="s">
        <v>28</v>
      </c>
      <c r="AH554" s="2113"/>
      <c r="AI554" s="2332"/>
      <c r="AJ554" s="2443"/>
      <c r="AK554" s="2333"/>
      <c r="AL554" s="2113"/>
      <c r="AM554" s="2301"/>
      <c r="AN554" s="2443"/>
      <c r="AO554" s="3340" t="s">
        <v>28</v>
      </c>
      <c r="AP554" s="2365"/>
      <c r="AQ554" s="7382"/>
      <c r="AR554" s="7383"/>
      <c r="AS554" s="7438" t="s">
        <v>515</v>
      </c>
      <c r="AT554" s="7380"/>
      <c r="AU554" s="7381"/>
      <c r="AV554" s="7380"/>
      <c r="AW554" s="7381"/>
      <c r="AX554" s="7380"/>
      <c r="AY554" s="7380"/>
      <c r="AZ554" s="7380"/>
      <c r="BA554" s="7380"/>
      <c r="BB554" s="7385"/>
      <c r="BC554" s="2260"/>
      <c r="BD554" s="1648"/>
      <c r="BE554" s="1630"/>
      <c r="BF554" s="1630"/>
      <c r="BG554" s="1630"/>
      <c r="BH554" s="1630"/>
      <c r="BI554" s="1641">
        <v>0</v>
      </c>
    </row>
    <row customHeight="1" ht="14.25">
      <c r="A555" s="1369"/>
      <c r="B555" s="1369"/>
      <c r="C555" s="1369"/>
      <c r="D555" s="1369"/>
      <c r="E555" s="2265"/>
      <c r="F555" s="2265"/>
      <c r="G555" s="2265"/>
      <c r="H555" s="2265"/>
      <c r="I555" s="2292"/>
      <c r="J555" s="2292"/>
      <c r="K555" s="2262" t="str">
        <f>S450&amp;".3"</f>
        <v>3.1.1.3</v>
      </c>
      <c r="L555" s="1375"/>
      <c r="M555" s="1782"/>
      <c r="N555" s="1782"/>
      <c r="O555" s="1782"/>
      <c r="P555" s="2380"/>
      <c r="Q555" s="2380"/>
      <c r="R555" s="2353"/>
      <c r="S555" s="2348"/>
      <c r="T555" s="2367"/>
      <c r="U555" s="306"/>
      <c r="V555" s="7380"/>
      <c r="W555" s="7381"/>
      <c r="X555" s="7380"/>
      <c r="Y555" s="7381"/>
      <c r="Z555" s="7380"/>
      <c r="AA555" s="7380"/>
      <c r="AB555" s="7380"/>
      <c r="AC555" s="7380"/>
      <c r="AD555" s="2192"/>
      <c r="AE555" s="2332"/>
      <c r="AF555" s="2443"/>
      <c r="AG555" s="3339" t="s">
        <v>28</v>
      </c>
      <c r="AH555" s="2113"/>
      <c r="AI555" s="2332"/>
      <c r="AJ555" s="2443"/>
      <c r="AK555" s="2333"/>
      <c r="AL555" s="2113"/>
      <c r="AM555" s="7382"/>
      <c r="AN555" s="7386"/>
      <c r="AO555" s="7439" t="s">
        <v>516</v>
      </c>
      <c r="AP555" s="7383"/>
      <c r="AQ555" s="7383"/>
      <c r="AR555" s="7383"/>
      <c r="AS555" s="7380"/>
      <c r="AT555" s="7380"/>
      <c r="AU555" s="7381"/>
      <c r="AV555" s="7380"/>
      <c r="AW555" s="7381"/>
      <c r="AX555" s="7380"/>
      <c r="AY555" s="7380"/>
      <c r="AZ555" s="7380"/>
      <c r="BA555" s="7380"/>
      <c r="BB555" s="7385"/>
      <c r="BC555" s="2260"/>
      <c r="BD555" s="1648"/>
      <c r="BE555" s="1630"/>
      <c r="BF555" s="1630"/>
      <c r="BG555" s="1630"/>
      <c r="BH555" s="1630"/>
      <c r="BI555" s="1641">
        <v>0</v>
      </c>
    </row>
    <row customHeight="1" ht="14.25">
      <c r="A556" s="1369"/>
      <c r="B556" s="1369"/>
      <c r="C556" s="1369"/>
      <c r="D556" s="1369"/>
      <c r="E556" s="2265"/>
      <c r="F556" s="2265"/>
      <c r="G556" s="2265"/>
      <c r="H556" s="2265"/>
      <c r="I556" s="2292"/>
      <c r="J556" s="2292"/>
      <c r="K556" s="2262" t="str">
        <f>S552&amp;".1"</f>
        <v>.1.1</v>
      </c>
      <c r="L556" s="1375"/>
      <c r="M556" s="1782"/>
      <c r="N556" s="1782"/>
      <c r="O556" s="1782"/>
      <c r="P556" s="2380"/>
      <c r="Q556" s="2380"/>
      <c r="R556" s="2353">
        <v>1</v>
      </c>
      <c r="S556" s="2347" t="str">
        <f>$K556</f>
        <v>.1.1</v>
      </c>
      <c r="T556" s="2366"/>
      <c r="U556" s="306"/>
      <c r="V556" s="757"/>
      <c r="W556" s="1263"/>
      <c r="X556" s="757"/>
      <c r="Y556" s="1263"/>
      <c r="Z556" s="2608"/>
      <c r="AA556" s="2113" t="s">
        <v>62</v>
      </c>
      <c r="AB556" s="2608"/>
      <c r="AC556" s="2113" t="s">
        <v>62</v>
      </c>
      <c r="AD556" s="2191" t="s">
        <v>62</v>
      </c>
      <c r="AE556" s="2332"/>
      <c r="AF556" s="2443">
        <v>1</v>
      </c>
      <c r="AG556" s="2369"/>
      <c r="AH556" s="2113" t="s">
        <v>62</v>
      </c>
      <c r="AI556" s="689" t="s">
        <v>253</v>
      </c>
      <c r="AJ556" s="2443" t="s">
        <v>112</v>
      </c>
      <c r="AK556" s="2333" t="s">
        <v>534</v>
      </c>
      <c r="AL556" s="2113" t="s">
        <v>19</v>
      </c>
      <c r="AM556" s="2300"/>
      <c r="AN556" s="2443">
        <v>1</v>
      </c>
      <c r="AO556" s="3340" t="s">
        <v>28</v>
      </c>
      <c r="AP556" s="2364" t="s">
        <v>62</v>
      </c>
      <c r="AQ556" s="317"/>
      <c r="AR556" s="2443">
        <v>1</v>
      </c>
      <c r="AS556" s="2582" t="s">
        <v>541</v>
      </c>
      <c r="AT556" s="757"/>
      <c r="AU556" s="1263"/>
      <c r="AV556" s="757"/>
      <c r="AW556" s="1263">
        <v>11852.56</v>
      </c>
      <c r="AX556" s="2608">
        <v>46023.38484953704</v>
      </c>
      <c r="AY556" s="2113" t="s">
        <v>62</v>
      </c>
      <c r="AZ556" s="2608">
        <v>46387.39685185185</v>
      </c>
      <c r="BA556" s="2113" t="s">
        <v>62</v>
      </c>
      <c r="BB556" s="1354"/>
      <c r="BC556" s="2259" t="s">
        <v>514</v>
      </c>
      <c r="BD556" s="1648"/>
      <c r="BE556" s="1630"/>
      <c r="BF556" s="1630" t="str">
        <f>IF(T556="","",T556)</f>
        <v/>
      </c>
      <c r="BG556" s="1630"/>
      <c r="BH556" s="1630"/>
      <c r="BI556" s="1641">
        <v>0</v>
      </c>
    </row>
    <row customHeight="1" ht="14.25">
      <c r="A557" s="1369"/>
      <c r="B557" s="1369"/>
      <c r="C557" s="1369"/>
      <c r="D557" s="1369"/>
      <c r="E557" s="2265"/>
      <c r="F557" s="2265"/>
      <c r="G557" s="2265"/>
      <c r="H557" s="2265"/>
      <c r="I557" s="2292"/>
      <c r="J557" s="2292"/>
      <c r="K557" s="2262" t="str">
        <f>S553&amp;".1"</f>
        <v>.1.1</v>
      </c>
      <c r="L557" s="1375"/>
      <c r="M557" s="1782"/>
      <c r="N557" s="1782"/>
      <c r="O557" s="1782"/>
      <c r="P557" s="2380"/>
      <c r="Q557" s="2380"/>
      <c r="R557" s="2353">
        <v>1</v>
      </c>
      <c r="S557" s="2347" t="str">
        <f>$K557</f>
        <v>.1.1</v>
      </c>
      <c r="T557" s="2366"/>
      <c r="U557" s="306"/>
      <c r="V557" s="757"/>
      <c r="W557" s="1263"/>
      <c r="X557" s="757"/>
      <c r="Y557" s="1263"/>
      <c r="Z557" s="2608"/>
      <c r="AA557" s="2113" t="s">
        <v>62</v>
      </c>
      <c r="AB557" s="2608"/>
      <c r="AC557" s="2113" t="s">
        <v>62</v>
      </c>
      <c r="AD557" s="2191" t="s">
        <v>62</v>
      </c>
      <c r="AE557" s="2332"/>
      <c r="AF557" s="2443">
        <v>1</v>
      </c>
      <c r="AG557" s="2369"/>
      <c r="AH557" s="2113" t="s">
        <v>62</v>
      </c>
      <c r="AI557" s="2332"/>
      <c r="AJ557" s="2443">
        <v>1</v>
      </c>
      <c r="AK557" s="2333" t="s">
        <v>28</v>
      </c>
      <c r="AL557" s="2113" t="s">
        <v>62</v>
      </c>
      <c r="AM557" s="2300"/>
      <c r="AN557" s="2443">
        <v>1</v>
      </c>
      <c r="AO557" s="3340" t="s">
        <v>28</v>
      </c>
      <c r="AP557" s="2364" t="s">
        <v>62</v>
      </c>
      <c r="AQ557" s="689" t="s">
        <v>253</v>
      </c>
      <c r="AR557" s="2443" t="s">
        <v>112</v>
      </c>
      <c r="AS557" s="2582" t="s">
        <v>541</v>
      </c>
      <c r="AT557" s="757"/>
      <c r="AU557" s="1263"/>
      <c r="AV557" s="757"/>
      <c r="AW557" s="1263">
        <v>14775.47</v>
      </c>
      <c r="AX557" s="2608">
        <v>46023.384884259256</v>
      </c>
      <c r="AY557" s="2113" t="s">
        <v>62</v>
      </c>
      <c r="AZ557" s="2608">
        <v>46387.3969212963</v>
      </c>
      <c r="BA557" s="2113" t="s">
        <v>62</v>
      </c>
      <c r="BB557" s="1354"/>
      <c r="BC557" s="2259" t="s">
        <v>514</v>
      </c>
      <c r="BD557" s="1648"/>
      <c r="BE557" s="1630"/>
      <c r="BF557" s="1630" t="str">
        <f>IF(T557="","",T557)</f>
        <v/>
      </c>
      <c r="BG557" s="1630"/>
      <c r="BH557" s="1630"/>
      <c r="BI557" s="1641">
        <v>0</v>
      </c>
    </row>
    <row customHeight="1" ht="14.25">
      <c r="A558" s="1369"/>
      <c r="B558" s="1369"/>
      <c r="C558" s="1369"/>
      <c r="D558" s="1369"/>
      <c r="E558" s="2265"/>
      <c r="F558" s="2265"/>
      <c r="G558" s="2265"/>
      <c r="H558" s="2265"/>
      <c r="I558" s="2292"/>
      <c r="J558" s="2292"/>
      <c r="K558" s="2262"/>
      <c r="L558" s="1375"/>
      <c r="M558" s="1782"/>
      <c r="N558" s="1782"/>
      <c r="O558" s="1782"/>
      <c r="P558" s="2380"/>
      <c r="Q558" s="2380"/>
      <c r="R558" s="2353"/>
      <c r="S558" s="2348"/>
      <c r="T558" s="2367"/>
      <c r="U558" s="306"/>
      <c r="V558" s="7380"/>
      <c r="W558" s="7381"/>
      <c r="X558" s="7380"/>
      <c r="Y558" s="7381"/>
      <c r="Z558" s="7380"/>
      <c r="AA558" s="7380"/>
      <c r="AB558" s="7380"/>
      <c r="AC558" s="7380"/>
      <c r="AD558" s="2192"/>
      <c r="AE558" s="2332"/>
      <c r="AF558" s="2443"/>
      <c r="AG558" s="2369"/>
      <c r="AH558" s="2113"/>
      <c r="AI558" s="2332"/>
      <c r="AJ558" s="2443">
        <v>1</v>
      </c>
      <c r="AK558" s="2333"/>
      <c r="AL558" s="2113"/>
      <c r="AM558" s="2301"/>
      <c r="AN558" s="2443"/>
      <c r="AO558" s="3340" t="s">
        <v>28</v>
      </c>
      <c r="AP558" s="2365"/>
      <c r="AQ558" s="7382"/>
      <c r="AR558" s="7383"/>
      <c r="AS558" s="7440" t="s">
        <v>515</v>
      </c>
      <c r="AT558" s="7380"/>
      <c r="AU558" s="7381"/>
      <c r="AV558" s="7380"/>
      <c r="AW558" s="7381"/>
      <c r="AX558" s="7380"/>
      <c r="AY558" s="7380"/>
      <c r="AZ558" s="7380"/>
      <c r="BA558" s="7380"/>
      <c r="BB558" s="7385"/>
      <c r="BC558" s="2260"/>
      <c r="BD558" s="1648"/>
      <c r="BE558" s="1630"/>
      <c r="BF558" s="1630"/>
      <c r="BG558" s="1630"/>
      <c r="BH558" s="1630"/>
      <c r="BI558" s="1641">
        <v>0</v>
      </c>
    </row>
    <row customHeight="1" ht="14.25">
      <c r="A559" s="1369"/>
      <c r="B559" s="1369"/>
      <c r="C559" s="1369"/>
      <c r="D559" s="1369"/>
      <c r="E559" s="2265"/>
      <c r="F559" s="2265"/>
      <c r="G559" s="2265"/>
      <c r="H559" s="2265"/>
      <c r="I559" s="2292"/>
      <c r="J559" s="2292"/>
      <c r="K559" s="2262"/>
      <c r="L559" s="1375"/>
      <c r="M559" s="1782"/>
      <c r="N559" s="1782"/>
      <c r="O559" s="1782"/>
      <c r="P559" s="2380"/>
      <c r="Q559" s="2380"/>
      <c r="R559" s="2353"/>
      <c r="S559" s="2348"/>
      <c r="T559" s="2367"/>
      <c r="U559" s="306"/>
      <c r="V559" s="7380"/>
      <c r="W559" s="7381"/>
      <c r="X559" s="7380"/>
      <c r="Y559" s="7381"/>
      <c r="Z559" s="7380"/>
      <c r="AA559" s="7380"/>
      <c r="AB559" s="7380"/>
      <c r="AC559" s="7380"/>
      <c r="AD559" s="2192"/>
      <c r="AE559" s="2332"/>
      <c r="AF559" s="2443"/>
      <c r="AG559" s="2369"/>
      <c r="AH559" s="2113"/>
      <c r="AI559" s="2332"/>
      <c r="AJ559" s="2443">
        <v>1</v>
      </c>
      <c r="AK559" s="2333"/>
      <c r="AL559" s="2113"/>
      <c r="AM559" s="7382"/>
      <c r="AN559" s="7386"/>
      <c r="AO559" s="7441" t="s">
        <v>516</v>
      </c>
      <c r="AP559" s="7383"/>
      <c r="AQ559" s="7383"/>
      <c r="AR559" s="7383"/>
      <c r="AS559" s="7380"/>
      <c r="AT559" s="7380"/>
      <c r="AU559" s="7381"/>
      <c r="AV559" s="7380"/>
      <c r="AW559" s="7381"/>
      <c r="AX559" s="7380"/>
      <c r="AY559" s="7380"/>
      <c r="AZ559" s="7380"/>
      <c r="BA559" s="7380"/>
      <c r="BB559" s="7385"/>
      <c r="BC559" s="2260"/>
      <c r="BD559" s="1648"/>
      <c r="BE559" s="1630"/>
      <c r="BF559" s="1630"/>
      <c r="BG559" s="1630"/>
      <c r="BH559" s="1630"/>
      <c r="BI559" s="1641">
        <v>0</v>
      </c>
    </row>
    <row customHeight="1" ht="14.25">
      <c r="A560" s="1369"/>
      <c r="B560" s="1369"/>
      <c r="C560" s="1369"/>
      <c r="D560" s="1369"/>
      <c r="E560" s="2265"/>
      <c r="F560" s="2265"/>
      <c r="G560" s="2265"/>
      <c r="H560" s="2265"/>
      <c r="I560" s="2292"/>
      <c r="J560" s="2292"/>
      <c r="K560" s="2262" t="str">
        <f>S555&amp;".1"</f>
        <v>.1</v>
      </c>
      <c r="L560" s="1375"/>
      <c r="M560" s="1782"/>
      <c r="N560" s="1782"/>
      <c r="O560" s="1782"/>
      <c r="P560" s="2380"/>
      <c r="Q560" s="2380"/>
      <c r="R560" s="2353">
        <v>1</v>
      </c>
      <c r="S560" s="2347" t="str">
        <f>$K560</f>
        <v>.1</v>
      </c>
      <c r="T560" s="2366"/>
      <c r="U560" s="306"/>
      <c r="V560" s="757"/>
      <c r="W560" s="1263"/>
      <c r="X560" s="757"/>
      <c r="Y560" s="1263"/>
      <c r="Z560" s="2608"/>
      <c r="AA560" s="2113" t="s">
        <v>62</v>
      </c>
      <c r="AB560" s="2608"/>
      <c r="AC560" s="2113" t="s">
        <v>62</v>
      </c>
      <c r="AD560" s="2191" t="s">
        <v>62</v>
      </c>
      <c r="AE560" s="2332"/>
      <c r="AF560" s="2443">
        <v>1</v>
      </c>
      <c r="AG560" s="2369"/>
      <c r="AH560" s="2113" t="s">
        <v>62</v>
      </c>
      <c r="AI560" s="689" t="s">
        <v>253</v>
      </c>
      <c r="AJ560" s="2443" t="s">
        <v>91</v>
      </c>
      <c r="AK560" s="2333" t="s">
        <v>535</v>
      </c>
      <c r="AL560" s="2113" t="s">
        <v>19</v>
      </c>
      <c r="AM560" s="2300"/>
      <c r="AN560" s="2443">
        <v>1</v>
      </c>
      <c r="AO560" s="3340" t="s">
        <v>28</v>
      </c>
      <c r="AP560" s="2364" t="s">
        <v>62</v>
      </c>
      <c r="AQ560" s="317"/>
      <c r="AR560" s="2443">
        <v>1</v>
      </c>
      <c r="AS560" s="2582" t="s">
        <v>541</v>
      </c>
      <c r="AT560" s="757"/>
      <c r="AU560" s="1263"/>
      <c r="AV560" s="757"/>
      <c r="AW560" s="1263">
        <v>11876.9</v>
      </c>
      <c r="AX560" s="2608">
        <v>46023.38491898148</v>
      </c>
      <c r="AY560" s="2113" t="s">
        <v>62</v>
      </c>
      <c r="AZ560" s="2608">
        <v>46387.397002314814</v>
      </c>
      <c r="BA560" s="2113" t="s">
        <v>62</v>
      </c>
      <c r="BB560" s="1354"/>
      <c r="BC560" s="2259" t="s">
        <v>514</v>
      </c>
      <c r="BD560" s="1648"/>
      <c r="BE560" s="1630"/>
      <c r="BF560" s="1630" t="str">
        <f>IF(T560="","",T560)</f>
        <v/>
      </c>
      <c r="BG560" s="1630"/>
      <c r="BH560" s="1630"/>
      <c r="BI560" s="1641">
        <v>0</v>
      </c>
    </row>
    <row customHeight="1" ht="14.25">
      <c r="A561" s="1369"/>
      <c r="B561" s="1369"/>
      <c r="C561" s="1369"/>
      <c r="D561" s="1369"/>
      <c r="E561" s="2265"/>
      <c r="F561" s="2265"/>
      <c r="G561" s="2265"/>
      <c r="H561" s="2265"/>
      <c r="I561" s="2292"/>
      <c r="J561" s="2292"/>
      <c r="K561" s="2262" t="str">
        <f>S557&amp;".1"</f>
        <v>.1.1.1</v>
      </c>
      <c r="L561" s="1375"/>
      <c r="M561" s="1782"/>
      <c r="N561" s="1782"/>
      <c r="O561" s="1782"/>
      <c r="P561" s="2380"/>
      <c r="Q561" s="2380"/>
      <c r="R561" s="2353">
        <v>1</v>
      </c>
      <c r="S561" s="2347" t="str">
        <f>$K561</f>
        <v>.1.1.1</v>
      </c>
      <c r="T561" s="2366"/>
      <c r="U561" s="306"/>
      <c r="V561" s="757"/>
      <c r="W561" s="1263"/>
      <c r="X561" s="757"/>
      <c r="Y561" s="1263"/>
      <c r="Z561" s="2608"/>
      <c r="AA561" s="2113" t="s">
        <v>62</v>
      </c>
      <c r="AB561" s="2608"/>
      <c r="AC561" s="2113" t="s">
        <v>62</v>
      </c>
      <c r="AD561" s="2191" t="s">
        <v>62</v>
      </c>
      <c r="AE561" s="2332"/>
      <c r="AF561" s="2443">
        <v>1</v>
      </c>
      <c r="AG561" s="2369"/>
      <c r="AH561" s="2113" t="s">
        <v>62</v>
      </c>
      <c r="AI561" s="2332"/>
      <c r="AJ561" s="2443">
        <v>1</v>
      </c>
      <c r="AK561" s="2333" t="s">
        <v>28</v>
      </c>
      <c r="AL561" s="2113" t="s">
        <v>62</v>
      </c>
      <c r="AM561" s="2300"/>
      <c r="AN561" s="2443">
        <v>1</v>
      </c>
      <c r="AO561" s="3340" t="s">
        <v>28</v>
      </c>
      <c r="AP561" s="2364" t="s">
        <v>62</v>
      </c>
      <c r="AQ561" s="689" t="s">
        <v>253</v>
      </c>
      <c r="AR561" s="2443" t="s">
        <v>112</v>
      </c>
      <c r="AS561" s="2582" t="s">
        <v>541</v>
      </c>
      <c r="AT561" s="757"/>
      <c r="AU561" s="1263"/>
      <c r="AV561" s="757"/>
      <c r="AW561" s="1263">
        <v>15647.74</v>
      </c>
      <c r="AX561" s="2608">
        <v>46023.3852662037</v>
      </c>
      <c r="AY561" s="2113" t="s">
        <v>62</v>
      </c>
      <c r="AZ561" s="2608">
        <v>46387.39707175926</v>
      </c>
      <c r="BA561" s="2113" t="s">
        <v>62</v>
      </c>
      <c r="BB561" s="1354"/>
      <c r="BC561" s="2259" t="s">
        <v>514</v>
      </c>
      <c r="BD561" s="1648"/>
      <c r="BE561" s="1630"/>
      <c r="BF561" s="1630" t="str">
        <f>IF(T561="","",T561)</f>
        <v/>
      </c>
      <c r="BG561" s="1630"/>
      <c r="BH561" s="1630"/>
      <c r="BI561" s="1641">
        <v>0</v>
      </c>
    </row>
    <row customHeight="1" ht="14.25">
      <c r="A562" s="1369"/>
      <c r="B562" s="1369"/>
      <c r="C562" s="1369"/>
      <c r="D562" s="1369"/>
      <c r="E562" s="2265"/>
      <c r="F562" s="2265"/>
      <c r="G562" s="2265"/>
      <c r="H562" s="2265"/>
      <c r="I562" s="2292"/>
      <c r="J562" s="2292"/>
      <c r="K562" s="2262" t="str">
        <f>S558&amp;".1"</f>
        <v>.1</v>
      </c>
      <c r="L562" s="1375"/>
      <c r="M562" s="1782"/>
      <c r="N562" s="1782"/>
      <c r="O562" s="1782"/>
      <c r="P562" s="2380"/>
      <c r="Q562" s="2380"/>
      <c r="R562" s="2353">
        <v>1</v>
      </c>
      <c r="S562" s="2347" t="str">
        <f>$K562</f>
        <v>.1</v>
      </c>
      <c r="T562" s="2366"/>
      <c r="U562" s="306"/>
      <c r="V562" s="757"/>
      <c r="W562" s="1263"/>
      <c r="X562" s="757"/>
      <c r="Y562" s="1263"/>
      <c r="Z562" s="2608"/>
      <c r="AA562" s="2113" t="s">
        <v>62</v>
      </c>
      <c r="AB562" s="2608"/>
      <c r="AC562" s="2113" t="s">
        <v>62</v>
      </c>
      <c r="AD562" s="2191" t="s">
        <v>62</v>
      </c>
      <c r="AE562" s="2332"/>
      <c r="AF562" s="2443">
        <v>1</v>
      </c>
      <c r="AG562" s="2369"/>
      <c r="AH562" s="2113" t="s">
        <v>62</v>
      </c>
      <c r="AI562" s="2332"/>
      <c r="AJ562" s="2443">
        <v>1</v>
      </c>
      <c r="AK562" s="2333" t="s">
        <v>28</v>
      </c>
      <c r="AL562" s="2113" t="s">
        <v>62</v>
      </c>
      <c r="AM562" s="2300"/>
      <c r="AN562" s="2443">
        <v>1</v>
      </c>
      <c r="AO562" s="3340" t="s">
        <v>28</v>
      </c>
      <c r="AP562" s="2364" t="s">
        <v>62</v>
      </c>
      <c r="AQ562" s="689" t="s">
        <v>253</v>
      </c>
      <c r="AR562" s="2443" t="s">
        <v>91</v>
      </c>
      <c r="AS562" s="2582" t="s">
        <v>541</v>
      </c>
      <c r="AT562" s="757"/>
      <c r="AU562" s="1263"/>
      <c r="AV562" s="757"/>
      <c r="AW562" s="1263">
        <v>12680.43</v>
      </c>
      <c r="AX562" s="2608">
        <v>46023.385347222225</v>
      </c>
      <c r="AY562" s="2113" t="s">
        <v>62</v>
      </c>
      <c r="AZ562" s="2608">
        <v>46387.397141203706</v>
      </c>
      <c r="BA562" s="2113" t="s">
        <v>62</v>
      </c>
      <c r="BB562" s="1354"/>
      <c r="BC562" s="2259" t="s">
        <v>514</v>
      </c>
      <c r="BD562" s="1648"/>
      <c r="BE562" s="1630"/>
      <c r="BF562" s="1630" t="str">
        <f>IF(T562="","",T562)</f>
        <v/>
      </c>
      <c r="BG562" s="1630"/>
      <c r="BH562" s="1630"/>
      <c r="BI562" s="1641">
        <v>0</v>
      </c>
    </row>
    <row customHeight="1" ht="14.25">
      <c r="A563" s="1369"/>
      <c r="B563" s="1369"/>
      <c r="C563" s="1369"/>
      <c r="D563" s="1369"/>
      <c r="E563" s="2265"/>
      <c r="F563" s="2265"/>
      <c r="G563" s="2265"/>
      <c r="H563" s="2265"/>
      <c r="I563" s="2292"/>
      <c r="J563" s="2292"/>
      <c r="K563" s="2262" t="str">
        <f>S559&amp;".1"</f>
        <v>.1</v>
      </c>
      <c r="L563" s="1375"/>
      <c r="M563" s="1782"/>
      <c r="N563" s="1782"/>
      <c r="O563" s="1782"/>
      <c r="P563" s="2380"/>
      <c r="Q563" s="2380"/>
      <c r="R563" s="2353">
        <v>1</v>
      </c>
      <c r="S563" s="2347" t="str">
        <f>$K563</f>
        <v>.1</v>
      </c>
      <c r="T563" s="2366"/>
      <c r="U563" s="306"/>
      <c r="V563" s="757"/>
      <c r="W563" s="1263"/>
      <c r="X563" s="757"/>
      <c r="Y563" s="1263"/>
      <c r="Z563" s="2608"/>
      <c r="AA563" s="2113" t="s">
        <v>62</v>
      </c>
      <c r="AB563" s="2608"/>
      <c r="AC563" s="2113" t="s">
        <v>62</v>
      </c>
      <c r="AD563" s="2191" t="s">
        <v>62</v>
      </c>
      <c r="AE563" s="2332"/>
      <c r="AF563" s="2443">
        <v>1</v>
      </c>
      <c r="AG563" s="2369"/>
      <c r="AH563" s="2113" t="s">
        <v>62</v>
      </c>
      <c r="AI563" s="2332"/>
      <c r="AJ563" s="2443">
        <v>1</v>
      </c>
      <c r="AK563" s="2333" t="s">
        <v>28</v>
      </c>
      <c r="AL563" s="2113" t="s">
        <v>62</v>
      </c>
      <c r="AM563" s="2300"/>
      <c r="AN563" s="2443">
        <v>1</v>
      </c>
      <c r="AO563" s="3340" t="s">
        <v>28</v>
      </c>
      <c r="AP563" s="2364" t="s">
        <v>62</v>
      </c>
      <c r="AQ563" s="689" t="s">
        <v>253</v>
      </c>
      <c r="AR563" s="2443" t="s">
        <v>92</v>
      </c>
      <c r="AS563" s="2582" t="s">
        <v>541</v>
      </c>
      <c r="AT563" s="757"/>
      <c r="AU563" s="1263"/>
      <c r="AV563" s="757"/>
      <c r="AW563" s="1263">
        <v>16925.07</v>
      </c>
      <c r="AX563" s="2608">
        <v>46023.38538194444</v>
      </c>
      <c r="AY563" s="2113" t="s">
        <v>62</v>
      </c>
      <c r="AZ563" s="2608">
        <v>46387.397210648145</v>
      </c>
      <c r="BA563" s="2113" t="s">
        <v>62</v>
      </c>
      <c r="BB563" s="1354"/>
      <c r="BC563" s="2259" t="s">
        <v>514</v>
      </c>
      <c r="BD563" s="1648"/>
      <c r="BE563" s="1630"/>
      <c r="BF563" s="1630" t="str">
        <f>IF(T563="","",T563)</f>
        <v/>
      </c>
      <c r="BG563" s="1630"/>
      <c r="BH563" s="1630"/>
      <c r="BI563" s="1641">
        <v>0</v>
      </c>
    </row>
    <row customHeight="1" ht="14.25">
      <c r="A564" s="1369"/>
      <c r="B564" s="1369"/>
      <c r="C564" s="1369"/>
      <c r="D564" s="1369"/>
      <c r="E564" s="2265"/>
      <c r="F564" s="2265"/>
      <c r="G564" s="2265"/>
      <c r="H564" s="2265"/>
      <c r="I564" s="2292"/>
      <c r="J564" s="2292"/>
      <c r="K564" s="2262"/>
      <c r="L564" s="1375"/>
      <c r="M564" s="1782"/>
      <c r="N564" s="1782"/>
      <c r="O564" s="1782"/>
      <c r="P564" s="2380"/>
      <c r="Q564" s="2380"/>
      <c r="R564" s="2353"/>
      <c r="S564" s="2348"/>
      <c r="T564" s="2367"/>
      <c r="U564" s="306"/>
      <c r="V564" s="7380"/>
      <c r="W564" s="7381"/>
      <c r="X564" s="7380"/>
      <c r="Y564" s="7381"/>
      <c r="Z564" s="7380"/>
      <c r="AA564" s="7380"/>
      <c r="AB564" s="7380"/>
      <c r="AC564" s="7380"/>
      <c r="AD564" s="2192"/>
      <c r="AE564" s="2332"/>
      <c r="AF564" s="2443"/>
      <c r="AG564" s="2369"/>
      <c r="AH564" s="2113"/>
      <c r="AI564" s="2332"/>
      <c r="AJ564" s="2443" t="s">
        <v>112</v>
      </c>
      <c r="AK564" s="2333"/>
      <c r="AL564" s="2113"/>
      <c r="AM564" s="2301"/>
      <c r="AN564" s="2443"/>
      <c r="AO564" s="3340" t="s">
        <v>28</v>
      </c>
      <c r="AP564" s="2365"/>
      <c r="AQ564" s="7382"/>
      <c r="AR564" s="7383"/>
      <c r="AS564" s="7442" t="s">
        <v>515</v>
      </c>
      <c r="AT564" s="7380"/>
      <c r="AU564" s="7381"/>
      <c r="AV564" s="7380"/>
      <c r="AW564" s="7381"/>
      <c r="AX564" s="7380"/>
      <c r="AY564" s="7380"/>
      <c r="AZ564" s="7380"/>
      <c r="BA564" s="7380"/>
      <c r="BB564" s="7385"/>
      <c r="BC564" s="2260"/>
      <c r="BD564" s="1648"/>
      <c r="BE564" s="1630"/>
      <c r="BF564" s="1630"/>
      <c r="BG564" s="1630"/>
      <c r="BH564" s="1630"/>
      <c r="BI564" s="1641">
        <v>0</v>
      </c>
    </row>
    <row customHeight="1" ht="14.25">
      <c r="A565" s="1369"/>
      <c r="B565" s="1369"/>
      <c r="C565" s="1369"/>
      <c r="D565" s="1369"/>
      <c r="E565" s="2265"/>
      <c r="F565" s="2265"/>
      <c r="G565" s="2265"/>
      <c r="H565" s="2265"/>
      <c r="I565" s="2292"/>
      <c r="J565" s="2292"/>
      <c r="K565" s="2262"/>
      <c r="L565" s="1375"/>
      <c r="M565" s="1782"/>
      <c r="N565" s="1782"/>
      <c r="O565" s="1782"/>
      <c r="P565" s="2380"/>
      <c r="Q565" s="2380"/>
      <c r="R565" s="2353"/>
      <c r="S565" s="2348"/>
      <c r="T565" s="2367"/>
      <c r="U565" s="306"/>
      <c r="V565" s="7380"/>
      <c r="W565" s="7381"/>
      <c r="X565" s="7380"/>
      <c r="Y565" s="7381"/>
      <c r="Z565" s="7380"/>
      <c r="AA565" s="7380"/>
      <c r="AB565" s="7380"/>
      <c r="AC565" s="7380"/>
      <c r="AD565" s="2192"/>
      <c r="AE565" s="2332"/>
      <c r="AF565" s="2443"/>
      <c r="AG565" s="2369"/>
      <c r="AH565" s="2113"/>
      <c r="AI565" s="2332"/>
      <c r="AJ565" s="2443" t="s">
        <v>112</v>
      </c>
      <c r="AK565" s="2333"/>
      <c r="AL565" s="2113"/>
      <c r="AM565" s="7382"/>
      <c r="AN565" s="7386"/>
      <c r="AO565" s="7443" t="s">
        <v>516</v>
      </c>
      <c r="AP565" s="7383"/>
      <c r="AQ565" s="7383"/>
      <c r="AR565" s="7383"/>
      <c r="AS565" s="7380"/>
      <c r="AT565" s="7380"/>
      <c r="AU565" s="7381"/>
      <c r="AV565" s="7380"/>
      <c r="AW565" s="7381"/>
      <c r="AX565" s="7380"/>
      <c r="AY565" s="7380"/>
      <c r="AZ565" s="7380"/>
      <c r="BA565" s="7380"/>
      <c r="BB565" s="7385"/>
      <c r="BC565" s="2260"/>
      <c r="BD565" s="1648"/>
      <c r="BE565" s="1630"/>
      <c r="BF565" s="1630"/>
      <c r="BG565" s="1630"/>
      <c r="BH565" s="1630"/>
      <c r="BI565" s="1641">
        <v>0</v>
      </c>
    </row>
    <row customHeight="1" ht="14.25">
      <c r="A566" s="1369"/>
      <c r="B566" s="1369"/>
      <c r="C566" s="1369"/>
      <c r="D566" s="1369"/>
      <c r="E566" s="2265"/>
      <c r="F566" s="2265"/>
      <c r="G566" s="2265"/>
      <c r="H566" s="2265"/>
      <c r="I566" s="2292"/>
      <c r="J566" s="2292"/>
      <c r="K566" s="2262" t="str">
        <f>S559&amp;".1"</f>
        <v>.1</v>
      </c>
      <c r="L566" s="1375"/>
      <c r="M566" s="1782"/>
      <c r="N566" s="1782"/>
      <c r="O566" s="1782"/>
      <c r="P566" s="2380"/>
      <c r="Q566" s="2380"/>
      <c r="R566" s="2353">
        <v>1</v>
      </c>
      <c r="S566" s="2347" t="str">
        <f>$K566</f>
        <v>.1</v>
      </c>
      <c r="T566" s="2366"/>
      <c r="U566" s="306"/>
      <c r="V566" s="757"/>
      <c r="W566" s="1263"/>
      <c r="X566" s="757"/>
      <c r="Y566" s="1263"/>
      <c r="Z566" s="2608"/>
      <c r="AA566" s="2113" t="s">
        <v>62</v>
      </c>
      <c r="AB566" s="2608"/>
      <c r="AC566" s="2113" t="s">
        <v>62</v>
      </c>
      <c r="AD566" s="2191" t="s">
        <v>62</v>
      </c>
      <c r="AE566" s="2332"/>
      <c r="AF566" s="2443">
        <v>1</v>
      </c>
      <c r="AG566" s="2369"/>
      <c r="AH566" s="2113" t="s">
        <v>62</v>
      </c>
      <c r="AI566" s="689" t="s">
        <v>253</v>
      </c>
      <c r="AJ566" s="2443" t="s">
        <v>92</v>
      </c>
      <c r="AK566" s="2333" t="s">
        <v>536</v>
      </c>
      <c r="AL566" s="2113" t="s">
        <v>19</v>
      </c>
      <c r="AM566" s="2300"/>
      <c r="AN566" s="2443">
        <v>1</v>
      </c>
      <c r="AO566" s="3340" t="s">
        <v>28</v>
      </c>
      <c r="AP566" s="2364" t="s">
        <v>62</v>
      </c>
      <c r="AQ566" s="317"/>
      <c r="AR566" s="2443">
        <v>1</v>
      </c>
      <c r="AS566" s="2582" t="s">
        <v>541</v>
      </c>
      <c r="AT566" s="757"/>
      <c r="AU566" s="1263"/>
      <c r="AV566" s="757"/>
      <c r="AW566" s="1263">
        <v>19053.47</v>
      </c>
      <c r="AX566" s="2608">
        <v>46023.385416666664</v>
      </c>
      <c r="AY566" s="2113" t="s">
        <v>62</v>
      </c>
      <c r="AZ566" s="2608">
        <v>46387.39728009259</v>
      </c>
      <c r="BA566" s="2113" t="s">
        <v>62</v>
      </c>
      <c r="BB566" s="1354"/>
      <c r="BC566" s="2259" t="s">
        <v>514</v>
      </c>
      <c r="BD566" s="1648"/>
      <c r="BE566" s="1630"/>
      <c r="BF566" s="1630" t="str">
        <f>IF(T566="","",T566)</f>
        <v/>
      </c>
      <c r="BG566" s="1630"/>
      <c r="BH566" s="1630"/>
      <c r="BI566" s="1641">
        <v>0</v>
      </c>
    </row>
    <row customHeight="1" ht="14.25">
      <c r="A567" s="1369"/>
      <c r="B567" s="1369"/>
      <c r="C567" s="1369"/>
      <c r="D567" s="1369"/>
      <c r="E567" s="2265"/>
      <c r="F567" s="2265"/>
      <c r="G567" s="2265"/>
      <c r="H567" s="2265"/>
      <c r="I567" s="2292"/>
      <c r="J567" s="2292"/>
      <c r="K567" s="2262" t="str">
        <f>S563&amp;".1"</f>
        <v>.1.1</v>
      </c>
      <c r="L567" s="1375"/>
      <c r="M567" s="1782"/>
      <c r="N567" s="1782"/>
      <c r="O567" s="1782"/>
      <c r="P567" s="2380"/>
      <c r="Q567" s="2380"/>
      <c r="R567" s="2353">
        <v>1</v>
      </c>
      <c r="S567" s="2347" t="str">
        <f>$K567</f>
        <v>.1.1</v>
      </c>
      <c r="T567" s="2366"/>
      <c r="U567" s="306"/>
      <c r="V567" s="757"/>
      <c r="W567" s="1263"/>
      <c r="X567" s="757"/>
      <c r="Y567" s="1263"/>
      <c r="Z567" s="2608"/>
      <c r="AA567" s="2113" t="s">
        <v>62</v>
      </c>
      <c r="AB567" s="2608"/>
      <c r="AC567" s="2113" t="s">
        <v>62</v>
      </c>
      <c r="AD567" s="2191" t="s">
        <v>62</v>
      </c>
      <c r="AE567" s="2332"/>
      <c r="AF567" s="2443">
        <v>1</v>
      </c>
      <c r="AG567" s="2369"/>
      <c r="AH567" s="2113" t="s">
        <v>62</v>
      </c>
      <c r="AI567" s="2332"/>
      <c r="AJ567" s="2443">
        <v>1</v>
      </c>
      <c r="AK567" s="2333" t="s">
        <v>28</v>
      </c>
      <c r="AL567" s="2113" t="s">
        <v>62</v>
      </c>
      <c r="AM567" s="2300"/>
      <c r="AN567" s="2443">
        <v>1</v>
      </c>
      <c r="AO567" s="3340" t="s">
        <v>28</v>
      </c>
      <c r="AP567" s="2364" t="s">
        <v>62</v>
      </c>
      <c r="AQ567" s="689" t="s">
        <v>253</v>
      </c>
      <c r="AR567" s="2443" t="s">
        <v>112</v>
      </c>
      <c r="AS567" s="2582" t="s">
        <v>541</v>
      </c>
      <c r="AT567" s="757"/>
      <c r="AU567" s="1263"/>
      <c r="AV567" s="757"/>
      <c r="AW567" s="1263">
        <v>19666.98</v>
      </c>
      <c r="AX567" s="2608">
        <v>46023.38545138889</v>
      </c>
      <c r="AY567" s="2113" t="s">
        <v>62</v>
      </c>
      <c r="AZ567" s="2608">
        <v>46387.397372685184</v>
      </c>
      <c r="BA567" s="2113" t="s">
        <v>62</v>
      </c>
      <c r="BB567" s="1354"/>
      <c r="BC567" s="2259" t="s">
        <v>514</v>
      </c>
      <c r="BD567" s="1648"/>
      <c r="BE567" s="1630"/>
      <c r="BF567" s="1630" t="str">
        <f>IF(T567="","",T567)</f>
        <v/>
      </c>
      <c r="BG567" s="1630"/>
      <c r="BH567" s="1630"/>
      <c r="BI567" s="1641">
        <v>0</v>
      </c>
    </row>
    <row customHeight="1" ht="14.25">
      <c r="A568" s="1369"/>
      <c r="B568" s="1369"/>
      <c r="C568" s="1369"/>
      <c r="D568" s="1369"/>
      <c r="E568" s="2265"/>
      <c r="F568" s="2265"/>
      <c r="G568" s="2265"/>
      <c r="H568" s="2265"/>
      <c r="I568" s="2292"/>
      <c r="J568" s="2292"/>
      <c r="K568" s="2262"/>
      <c r="L568" s="1375"/>
      <c r="M568" s="1782"/>
      <c r="N568" s="1782"/>
      <c r="O568" s="1782"/>
      <c r="P568" s="2380"/>
      <c r="Q568" s="2380"/>
      <c r="R568" s="2353"/>
      <c r="S568" s="2348"/>
      <c r="T568" s="2367"/>
      <c r="U568" s="306"/>
      <c r="V568" s="7380"/>
      <c r="W568" s="7381"/>
      <c r="X568" s="7380"/>
      <c r="Y568" s="7381"/>
      <c r="Z568" s="7380"/>
      <c r="AA568" s="7380"/>
      <c r="AB568" s="7380"/>
      <c r="AC568" s="7380"/>
      <c r="AD568" s="2192"/>
      <c r="AE568" s="2332"/>
      <c r="AF568" s="2443"/>
      <c r="AG568" s="2369"/>
      <c r="AH568" s="2113"/>
      <c r="AI568" s="2332"/>
      <c r="AJ568" s="2443" t="s">
        <v>91</v>
      </c>
      <c r="AK568" s="2333"/>
      <c r="AL568" s="2113"/>
      <c r="AM568" s="2301"/>
      <c r="AN568" s="2443"/>
      <c r="AO568" s="3340" t="s">
        <v>28</v>
      </c>
      <c r="AP568" s="2365"/>
      <c r="AQ568" s="7382"/>
      <c r="AR568" s="7383"/>
      <c r="AS568" s="7444" t="s">
        <v>515</v>
      </c>
      <c r="AT568" s="7380"/>
      <c r="AU568" s="7381"/>
      <c r="AV568" s="7380"/>
      <c r="AW568" s="7381"/>
      <c r="AX568" s="7380"/>
      <c r="AY568" s="7380"/>
      <c r="AZ568" s="7380"/>
      <c r="BA568" s="7380"/>
      <c r="BB568" s="7385"/>
      <c r="BC568" s="2260"/>
      <c r="BD568" s="1648"/>
      <c r="BE568" s="1630"/>
      <c r="BF568" s="1630"/>
      <c r="BG568" s="1630"/>
      <c r="BH568" s="1630"/>
      <c r="BI568" s="1641">
        <v>0</v>
      </c>
    </row>
    <row customHeight="1" ht="14.25">
      <c r="A569" s="1369"/>
      <c r="B569" s="1369"/>
      <c r="C569" s="1369"/>
      <c r="D569" s="1369"/>
      <c r="E569" s="2265"/>
      <c r="F569" s="2265"/>
      <c r="G569" s="2265"/>
      <c r="H569" s="2265"/>
      <c r="I569" s="2292"/>
      <c r="J569" s="2292"/>
      <c r="K569" s="2262"/>
      <c r="L569" s="1375"/>
      <c r="M569" s="1782"/>
      <c r="N569" s="1782"/>
      <c r="O569" s="1782"/>
      <c r="P569" s="2380"/>
      <c r="Q569" s="2380"/>
      <c r="R569" s="2353"/>
      <c r="S569" s="2348"/>
      <c r="T569" s="2367"/>
      <c r="U569" s="306"/>
      <c r="V569" s="7380"/>
      <c r="W569" s="7381"/>
      <c r="X569" s="7380"/>
      <c r="Y569" s="7381"/>
      <c r="Z569" s="7380"/>
      <c r="AA569" s="7380"/>
      <c r="AB569" s="7380"/>
      <c r="AC569" s="7380"/>
      <c r="AD569" s="2192"/>
      <c r="AE569" s="2332"/>
      <c r="AF569" s="2443"/>
      <c r="AG569" s="2369"/>
      <c r="AH569" s="2113"/>
      <c r="AI569" s="2332"/>
      <c r="AJ569" s="2443" t="s">
        <v>91</v>
      </c>
      <c r="AK569" s="2333"/>
      <c r="AL569" s="2113"/>
      <c r="AM569" s="7382"/>
      <c r="AN569" s="7386"/>
      <c r="AO569" s="7445" t="s">
        <v>516</v>
      </c>
      <c r="AP569" s="7383"/>
      <c r="AQ569" s="7383"/>
      <c r="AR569" s="7383"/>
      <c r="AS569" s="7380"/>
      <c r="AT569" s="7380"/>
      <c r="AU569" s="7381"/>
      <c r="AV569" s="7380"/>
      <c r="AW569" s="7381"/>
      <c r="AX569" s="7380"/>
      <c r="AY569" s="7380"/>
      <c r="AZ569" s="7380"/>
      <c r="BA569" s="7380"/>
      <c r="BB569" s="7385"/>
      <c r="BC569" s="2260"/>
      <c r="BD569" s="1648"/>
      <c r="BE569" s="1630"/>
      <c r="BF569" s="1630"/>
      <c r="BG569" s="1630"/>
      <c r="BH569" s="1630"/>
      <c r="BI569" s="1641">
        <v>0</v>
      </c>
    </row>
    <row customHeight="1" ht="14.25">
      <c r="A570" s="1369"/>
      <c r="B570" s="1369"/>
      <c r="C570" s="1369"/>
      <c r="D570" s="1369"/>
      <c r="E570" s="2265"/>
      <c r="F570" s="2265"/>
      <c r="G570" s="2265"/>
      <c r="H570" s="2265"/>
      <c r="I570" s="2292"/>
      <c r="J570" s="2292"/>
      <c r="K570" s="2262" t="str">
        <f>S565&amp;".1"</f>
        <v>.1</v>
      </c>
      <c r="L570" s="1375"/>
      <c r="M570" s="1782"/>
      <c r="N570" s="1782"/>
      <c r="O570" s="1782"/>
      <c r="P570" s="2380"/>
      <c r="Q570" s="2380"/>
      <c r="R570" s="2353">
        <v>1</v>
      </c>
      <c r="S570" s="2347" t="str">
        <f>$K570</f>
        <v>.1</v>
      </c>
      <c r="T570" s="2366"/>
      <c r="U570" s="306"/>
      <c r="V570" s="757"/>
      <c r="W570" s="1263"/>
      <c r="X570" s="757"/>
      <c r="Y570" s="1263"/>
      <c r="Z570" s="2608"/>
      <c r="AA570" s="2113" t="s">
        <v>62</v>
      </c>
      <c r="AB570" s="2608"/>
      <c r="AC570" s="2113" t="s">
        <v>62</v>
      </c>
      <c r="AD570" s="2191" t="s">
        <v>62</v>
      </c>
      <c r="AE570" s="2332"/>
      <c r="AF570" s="2443">
        <v>1</v>
      </c>
      <c r="AG570" s="2369"/>
      <c r="AH570" s="2113" t="s">
        <v>62</v>
      </c>
      <c r="AI570" s="689" t="s">
        <v>253</v>
      </c>
      <c r="AJ570" s="2443" t="s">
        <v>113</v>
      </c>
      <c r="AK570" s="2333" t="s">
        <v>537</v>
      </c>
      <c r="AL570" s="2113" t="s">
        <v>19</v>
      </c>
      <c r="AM570" s="2300"/>
      <c r="AN570" s="2443">
        <v>1</v>
      </c>
      <c r="AO570" s="3340" t="s">
        <v>28</v>
      </c>
      <c r="AP570" s="2364" t="s">
        <v>62</v>
      </c>
      <c r="AQ570" s="317"/>
      <c r="AR570" s="2443">
        <v>1</v>
      </c>
      <c r="AS570" s="2582" t="s">
        <v>541</v>
      </c>
      <c r="AT570" s="757"/>
      <c r="AU570" s="1263"/>
      <c r="AV570" s="757"/>
      <c r="AW570" s="1263">
        <v>22852.58</v>
      </c>
      <c r="AX570" s="2608">
        <v>46023.38548611111</v>
      </c>
      <c r="AY570" s="2113" t="s">
        <v>62</v>
      </c>
      <c r="AZ570" s="2608">
        <v>46387.397465277776</v>
      </c>
      <c r="BA570" s="2113" t="s">
        <v>62</v>
      </c>
      <c r="BB570" s="1354"/>
      <c r="BC570" s="2259" t="s">
        <v>514</v>
      </c>
      <c r="BD570" s="1648"/>
      <c r="BE570" s="1630"/>
      <c r="BF570" s="1630" t="str">
        <f>IF(T570="","",T570)</f>
        <v/>
      </c>
      <c r="BG570" s="1630"/>
      <c r="BH570" s="1630"/>
      <c r="BI570" s="1641">
        <v>0</v>
      </c>
    </row>
    <row customHeight="1" ht="14.25">
      <c r="A571" s="1369"/>
      <c r="B571" s="1369"/>
      <c r="C571" s="1369"/>
      <c r="D571" s="1369"/>
      <c r="E571" s="2265"/>
      <c r="F571" s="2265"/>
      <c r="G571" s="2265"/>
      <c r="H571" s="2265"/>
      <c r="I571" s="2292"/>
      <c r="J571" s="2292"/>
      <c r="K571" s="2262" t="str">
        <f>S567&amp;".1"</f>
        <v>.1.1.1</v>
      </c>
      <c r="L571" s="1375"/>
      <c r="M571" s="1782"/>
      <c r="N571" s="1782"/>
      <c r="O571" s="1782"/>
      <c r="P571" s="2380"/>
      <c r="Q571" s="2380"/>
      <c r="R571" s="2353">
        <v>1</v>
      </c>
      <c r="S571" s="2347" t="str">
        <f>$K571</f>
        <v>.1.1.1</v>
      </c>
      <c r="T571" s="2366"/>
      <c r="U571" s="306"/>
      <c r="V571" s="757"/>
      <c r="W571" s="1263"/>
      <c r="X571" s="757"/>
      <c r="Y571" s="1263"/>
      <c r="Z571" s="2608"/>
      <c r="AA571" s="2113" t="s">
        <v>62</v>
      </c>
      <c r="AB571" s="2608"/>
      <c r="AC571" s="2113" t="s">
        <v>62</v>
      </c>
      <c r="AD571" s="2191" t="s">
        <v>62</v>
      </c>
      <c r="AE571" s="2332"/>
      <c r="AF571" s="2443">
        <v>1</v>
      </c>
      <c r="AG571" s="2369"/>
      <c r="AH571" s="2113" t="s">
        <v>62</v>
      </c>
      <c r="AI571" s="2332"/>
      <c r="AJ571" s="2443">
        <v>1</v>
      </c>
      <c r="AK571" s="2333" t="s">
        <v>28</v>
      </c>
      <c r="AL571" s="2113" t="s">
        <v>62</v>
      </c>
      <c r="AM571" s="2300"/>
      <c r="AN571" s="2443">
        <v>1</v>
      </c>
      <c r="AO571" s="3340" t="s">
        <v>28</v>
      </c>
      <c r="AP571" s="2364" t="s">
        <v>62</v>
      </c>
      <c r="AQ571" s="689" t="s">
        <v>253</v>
      </c>
      <c r="AR571" s="2443" t="s">
        <v>112</v>
      </c>
      <c r="AS571" s="2582" t="s">
        <v>541</v>
      </c>
      <c r="AT571" s="757"/>
      <c r="AU571" s="1263"/>
      <c r="AV571" s="757"/>
      <c r="AW571" s="1263">
        <v>23116.52</v>
      </c>
      <c r="AX571" s="2608">
        <v>46023.38553240741</v>
      </c>
      <c r="AY571" s="2113" t="s">
        <v>62</v>
      </c>
      <c r="AZ571" s="2608">
        <v>46387.39755787037</v>
      </c>
      <c r="BA571" s="2113" t="s">
        <v>62</v>
      </c>
      <c r="BB571" s="1354"/>
      <c r="BC571" s="2259" t="s">
        <v>514</v>
      </c>
      <c r="BD571" s="1648"/>
      <c r="BE571" s="1630"/>
      <c r="BF571" s="1630" t="str">
        <f>IF(T571="","",T571)</f>
        <v/>
      </c>
      <c r="BG571" s="1630"/>
      <c r="BH571" s="1630"/>
      <c r="BI571" s="1641">
        <v>0</v>
      </c>
    </row>
    <row customHeight="1" ht="14.25">
      <c r="A572" s="1369"/>
      <c r="B572" s="1369"/>
      <c r="C572" s="1369"/>
      <c r="D572" s="1369"/>
      <c r="E572" s="2265"/>
      <c r="F572" s="2265"/>
      <c r="G572" s="2265"/>
      <c r="H572" s="2265"/>
      <c r="I572" s="2292"/>
      <c r="J572" s="2292"/>
      <c r="K572" s="2262"/>
      <c r="L572" s="1375"/>
      <c r="M572" s="1782"/>
      <c r="N572" s="1782"/>
      <c r="O572" s="1782"/>
      <c r="P572" s="2380"/>
      <c r="Q572" s="2380"/>
      <c r="R572" s="2353"/>
      <c r="S572" s="2348"/>
      <c r="T572" s="2367"/>
      <c r="U572" s="306"/>
      <c r="V572" s="7380"/>
      <c r="W572" s="7381"/>
      <c r="X572" s="7380"/>
      <c r="Y572" s="7381"/>
      <c r="Z572" s="7380"/>
      <c r="AA572" s="7380"/>
      <c r="AB572" s="7380"/>
      <c r="AC572" s="7380"/>
      <c r="AD572" s="2192"/>
      <c r="AE572" s="2332"/>
      <c r="AF572" s="2443"/>
      <c r="AG572" s="2369"/>
      <c r="AH572" s="2113"/>
      <c r="AI572" s="2332"/>
      <c r="AJ572" s="2443" t="s">
        <v>92</v>
      </c>
      <c r="AK572" s="2333"/>
      <c r="AL572" s="2113"/>
      <c r="AM572" s="2301"/>
      <c r="AN572" s="2443"/>
      <c r="AO572" s="3340" t="s">
        <v>28</v>
      </c>
      <c r="AP572" s="2365"/>
      <c r="AQ572" s="7382"/>
      <c r="AR572" s="7383"/>
      <c r="AS572" s="7446" t="s">
        <v>515</v>
      </c>
      <c r="AT572" s="7380"/>
      <c r="AU572" s="7381"/>
      <c r="AV572" s="7380"/>
      <c r="AW572" s="7381"/>
      <c r="AX572" s="7380"/>
      <c r="AY572" s="7380"/>
      <c r="AZ572" s="7380"/>
      <c r="BA572" s="7380"/>
      <c r="BB572" s="7385"/>
      <c r="BC572" s="2260"/>
      <c r="BD572" s="1648"/>
      <c r="BE572" s="1630"/>
      <c r="BF572" s="1630"/>
      <c r="BG572" s="1630"/>
      <c r="BH572" s="1630"/>
      <c r="BI572" s="1641">
        <v>0</v>
      </c>
    </row>
    <row customHeight="1" ht="14.25">
      <c r="A573" s="1369"/>
      <c r="B573" s="1369"/>
      <c r="C573" s="1369"/>
      <c r="D573" s="1369"/>
      <c r="E573" s="2265"/>
      <c r="F573" s="2265"/>
      <c r="G573" s="2265"/>
      <c r="H573" s="2265"/>
      <c r="I573" s="2292"/>
      <c r="J573" s="2292"/>
      <c r="K573" s="2262"/>
      <c r="L573" s="1375"/>
      <c r="M573" s="1782"/>
      <c r="N573" s="1782"/>
      <c r="O573" s="1782"/>
      <c r="P573" s="2380"/>
      <c r="Q573" s="2380"/>
      <c r="R573" s="2353"/>
      <c r="S573" s="2348"/>
      <c r="T573" s="2367"/>
      <c r="U573" s="306"/>
      <c r="V573" s="7380"/>
      <c r="W573" s="7381"/>
      <c r="X573" s="7380"/>
      <c r="Y573" s="7381"/>
      <c r="Z573" s="7380"/>
      <c r="AA573" s="7380"/>
      <c r="AB573" s="7380"/>
      <c r="AC573" s="7380"/>
      <c r="AD573" s="2192"/>
      <c r="AE573" s="2332"/>
      <c r="AF573" s="2443"/>
      <c r="AG573" s="2369"/>
      <c r="AH573" s="2113"/>
      <c r="AI573" s="2332"/>
      <c r="AJ573" s="2443" t="s">
        <v>92</v>
      </c>
      <c r="AK573" s="2333"/>
      <c r="AL573" s="2113"/>
      <c r="AM573" s="7382"/>
      <c r="AN573" s="7386"/>
      <c r="AO573" s="7447" t="s">
        <v>516</v>
      </c>
      <c r="AP573" s="7383"/>
      <c r="AQ573" s="7383"/>
      <c r="AR573" s="7383"/>
      <c r="AS573" s="7380"/>
      <c r="AT573" s="7380"/>
      <c r="AU573" s="7381"/>
      <c r="AV573" s="7380"/>
      <c r="AW573" s="7381"/>
      <c r="AX573" s="7380"/>
      <c r="AY573" s="7380"/>
      <c r="AZ573" s="7380"/>
      <c r="BA573" s="7380"/>
      <c r="BB573" s="7385"/>
      <c r="BC573" s="2260"/>
      <c r="BD573" s="1648"/>
      <c r="BE573" s="1630"/>
      <c r="BF573" s="1630"/>
      <c r="BG573" s="1630"/>
      <c r="BH573" s="1630"/>
      <c r="BI573" s="1641">
        <v>0</v>
      </c>
    </row>
    <row customHeight="1" ht="14.25">
      <c r="A574" s="1369"/>
      <c r="B574" s="1369"/>
      <c r="C574" s="1369"/>
      <c r="D574" s="1369"/>
      <c r="E574" s="2265"/>
      <c r="F574" s="2265"/>
      <c r="G574" s="2265"/>
      <c r="H574" s="2265"/>
      <c r="I574" s="2292"/>
      <c r="J574" s="2292"/>
      <c r="K574" s="2262" t="str">
        <f>S450&amp;".3"</f>
        <v>3.1.1.3</v>
      </c>
      <c r="L574" s="1375"/>
      <c r="M574" s="1782"/>
      <c r="N574" s="1782"/>
      <c r="O574" s="1782"/>
      <c r="P574" s="2380"/>
      <c r="Q574" s="2380"/>
      <c r="R574" s="2353"/>
      <c r="S574" s="2348"/>
      <c r="T574" s="2367"/>
      <c r="U574" s="306"/>
      <c r="V574" s="7380"/>
      <c r="W574" s="7381"/>
      <c r="X574" s="7380"/>
      <c r="Y574" s="7381"/>
      <c r="Z574" s="7380"/>
      <c r="AA574" s="7380"/>
      <c r="AB574" s="7380"/>
      <c r="AC574" s="7380"/>
      <c r="AD574" s="2192"/>
      <c r="AE574" s="2332"/>
      <c r="AF574" s="2443"/>
      <c r="AG574" s="3339" t="s">
        <v>28</v>
      </c>
      <c r="AH574" s="2113"/>
      <c r="AI574" s="7408"/>
      <c r="AJ574" s="7409"/>
      <c r="AK574" s="7448" t="s">
        <v>517</v>
      </c>
      <c r="AL574" s="7380"/>
      <c r="AM574" s="7380"/>
      <c r="AN574" s="7380"/>
      <c r="AO574" s="7380"/>
      <c r="AP574" s="7380"/>
      <c r="AQ574" s="7380"/>
      <c r="AR574" s="7380"/>
      <c r="AS574" s="7380"/>
      <c r="AT574" s="7380"/>
      <c r="AU574" s="7381"/>
      <c r="AV574" s="7380"/>
      <c r="AW574" s="7381"/>
      <c r="AX574" s="7380"/>
      <c r="AY574" s="7380"/>
      <c r="AZ574" s="7380"/>
      <c r="BA574" s="7380"/>
      <c r="BB574" s="7385"/>
      <c r="BC574" s="2260"/>
      <c r="BD574" s="1648"/>
      <c r="BE574" s="1630"/>
      <c r="BF574" s="1630"/>
      <c r="BG574" s="1630"/>
      <c r="BH574" s="1630"/>
      <c r="BI574" s="1641">
        <v>0</v>
      </c>
    </row>
    <row customHeight="1" ht="14.25">
      <c r="A575" s="1369"/>
      <c r="B575" s="1369"/>
      <c r="C575" s="1369"/>
      <c r="D575" s="1369"/>
      <c r="E575" s="2265"/>
      <c r="F575" s="2265"/>
      <c r="G575" s="2265"/>
      <c r="H575" s="2265"/>
      <c r="I575" s="2292"/>
      <c r="J575" s="2292"/>
      <c r="K575" s="2262" t="str">
        <f>S450&amp;".3"</f>
        <v>3.1.1.3</v>
      </c>
      <c r="L575" s="1375"/>
      <c r="M575" s="1782"/>
      <c r="N575" s="1782"/>
      <c r="O575" s="1782"/>
      <c r="P575" s="2380"/>
      <c r="Q575" s="2380"/>
      <c r="R575" s="2353"/>
      <c r="S575" s="2349"/>
      <c r="T575" s="2368"/>
      <c r="U575" s="306"/>
      <c r="V575" s="7380"/>
      <c r="W575" s="7449" t="str">
        <f>Z550&amp;"-"&amp;AB550</f>
        <v>-</v>
      </c>
      <c r="X575" s="7380"/>
      <c r="Y575" s="7450" t="str">
        <f>AB550&amp;"-"&amp;AD550</f>
        <v>-нет</v>
      </c>
      <c r="Z575" s="7380"/>
      <c r="AA575" s="7380"/>
      <c r="AB575" s="7380"/>
      <c r="AC575" s="7380"/>
      <c r="AD575" s="2118"/>
      <c r="AE575" s="7413"/>
      <c r="AF575" s="7414"/>
      <c r="AG575" s="7451" t="s">
        <v>518</v>
      </c>
      <c r="AH575" s="7380"/>
      <c r="AI575" s="7380"/>
      <c r="AJ575" s="7380"/>
      <c r="AK575" s="7380"/>
      <c r="AL575" s="7380"/>
      <c r="AM575" s="7380"/>
      <c r="AN575" s="7380"/>
      <c r="AO575" s="7380"/>
      <c r="AP575" s="7380"/>
      <c r="AQ575" s="7380"/>
      <c r="AR575" s="7380"/>
      <c r="AS575" s="7380"/>
      <c r="AT575" s="7380"/>
      <c r="AU575" s="7452" t="str">
        <f>AX550&amp;"-"&amp;AZ550</f>
        <v>46023.38471064815-46387.39653935185</v>
      </c>
      <c r="AV575" s="7380"/>
      <c r="AW575" s="7453" t="str">
        <f>AZ550&amp;"-"&amp;BB550</f>
        <v>46387.39653935185-</v>
      </c>
      <c r="AX575" s="7380"/>
      <c r="AY575" s="7380"/>
      <c r="AZ575" s="7380"/>
      <c r="BA575" s="7380"/>
      <c r="BB575" s="7454" t="str">
        <f>BE550&amp;"-"&amp;BG550</f>
        <v>-</v>
      </c>
      <c r="BC575" s="2260"/>
      <c r="BD575" s="1648"/>
      <c r="BE575" s="1630"/>
      <c r="BF575" s="1630" t="str">
        <f>IF(T575="","",T575)</f>
        <v/>
      </c>
      <c r="BG575" s="1630"/>
      <c r="BH575" s="1630"/>
      <c r="BI575" s="1641">
        <v>0</v>
      </c>
    </row>
    <row customHeight="1" ht="14.25">
      <c r="A576" s="1369"/>
      <c r="B576" s="1369"/>
      <c r="C576" s="1369"/>
      <c r="D576" s="1369"/>
      <c r="E576" s="2265"/>
      <c r="F576" s="2265"/>
      <c r="G576" s="2265"/>
      <c r="H576" s="2265"/>
      <c r="I576" s="2292"/>
      <c r="J576" s="2292"/>
      <c r="K576" s="2262" t="str">
        <f>S450&amp;".5"</f>
        <v>3.1.1.5</v>
      </c>
      <c r="L576" s="1375"/>
      <c r="M576" s="1782"/>
      <c r="N576" s="1782"/>
      <c r="O576" s="1782"/>
      <c r="P576" s="2380"/>
      <c r="Q576" s="2380"/>
      <c r="R576" s="689" t="s">
        <v>253</v>
      </c>
      <c r="S576" s="2347" t="str">
        <f>$K576</f>
        <v>3.1.1.5</v>
      </c>
      <c r="T576" s="2366" t="s">
        <v>542</v>
      </c>
      <c r="U576" s="306"/>
      <c r="V576" s="757"/>
      <c r="W576" s="1263"/>
      <c r="X576" s="757"/>
      <c r="Y576" s="1263"/>
      <c r="Z576" s="2608"/>
      <c r="AA576" s="2113" t="s">
        <v>62</v>
      </c>
      <c r="AB576" s="2608"/>
      <c r="AC576" s="2113" t="s">
        <v>62</v>
      </c>
      <c r="AD576" s="2191" t="s">
        <v>19</v>
      </c>
      <c r="AE576" s="2332"/>
      <c r="AF576" s="2443">
        <v>1</v>
      </c>
      <c r="AG576" s="3339" t="s">
        <v>28</v>
      </c>
      <c r="AH576" s="2113" t="s">
        <v>62</v>
      </c>
      <c r="AI576" s="2332"/>
      <c r="AJ576" s="2443">
        <v>1</v>
      </c>
      <c r="AK576" s="2333" t="s">
        <v>533</v>
      </c>
      <c r="AL576" s="2113" t="s">
        <v>19</v>
      </c>
      <c r="AM576" s="2300"/>
      <c r="AN576" s="2443">
        <v>1</v>
      </c>
      <c r="AO576" s="3340" t="s">
        <v>28</v>
      </c>
      <c r="AP576" s="2364" t="s">
        <v>62</v>
      </c>
      <c r="AQ576" s="317"/>
      <c r="AR576" s="2443">
        <v>1</v>
      </c>
      <c r="AS576" s="2582" t="s">
        <v>541</v>
      </c>
      <c r="AT576" s="757"/>
      <c r="AU576" s="1263"/>
      <c r="AV576" s="757"/>
      <c r="AW576" s="1263">
        <v>3287.58</v>
      </c>
      <c r="AX576" s="2608">
        <v>46023.38559027778</v>
      </c>
      <c r="AY576" s="2113" t="s">
        <v>62</v>
      </c>
      <c r="AZ576" s="2608">
        <v>46387.39765046296</v>
      </c>
      <c r="BA576" s="2113" t="s">
        <v>62</v>
      </c>
      <c r="BB576" s="1354"/>
      <c r="BC576" s="2259" t="s">
        <v>514</v>
      </c>
      <c r="BD576" s="1648"/>
      <c r="BE576" s="1630"/>
      <c r="BF576" s="1630" t="str">
        <f>IF(T576="","",T576)</f>
        <v>Наружные инженерные сети водопровода, разработка грунта в отвал, трубы полиэтиленовые диаметром:</v>
      </c>
      <c r="BG576" s="1630"/>
      <c r="BH576" s="1630"/>
      <c r="BI576" s="1641">
        <v>0</v>
      </c>
    </row>
    <row customHeight="1" ht="14.25">
      <c r="A577" s="1369"/>
      <c r="B577" s="1369"/>
      <c r="C577" s="1369"/>
      <c r="D577" s="1369"/>
      <c r="E577" s="2265"/>
      <c r="F577" s="2265"/>
      <c r="G577" s="2265"/>
      <c r="H577" s="2265"/>
      <c r="I577" s="2292"/>
      <c r="J577" s="2292"/>
      <c r="K577" s="2262" t="str">
        <f>S555&amp;".1"</f>
        <v>.1</v>
      </c>
      <c r="L577" s="1375"/>
      <c r="M577" s="1782"/>
      <c r="N577" s="1782"/>
      <c r="O577" s="1782"/>
      <c r="P577" s="2380"/>
      <c r="Q577" s="2380"/>
      <c r="R577" s="2353">
        <v>1</v>
      </c>
      <c r="S577" s="2347" t="str">
        <f>$K577</f>
        <v>.1</v>
      </c>
      <c r="T577" s="2366"/>
      <c r="U577" s="306"/>
      <c r="V577" s="757"/>
      <c r="W577" s="1263"/>
      <c r="X577" s="757"/>
      <c r="Y577" s="1263"/>
      <c r="Z577" s="2608"/>
      <c r="AA577" s="2113" t="s">
        <v>62</v>
      </c>
      <c r="AB577" s="2608"/>
      <c r="AC577" s="2113" t="s">
        <v>62</v>
      </c>
      <c r="AD577" s="2191" t="s">
        <v>62</v>
      </c>
      <c r="AE577" s="2332"/>
      <c r="AF577" s="2443">
        <v>1</v>
      </c>
      <c r="AG577" s="2369"/>
      <c r="AH577" s="2113" t="s">
        <v>62</v>
      </c>
      <c r="AI577" s="2332"/>
      <c r="AJ577" s="2443">
        <v>1</v>
      </c>
      <c r="AK577" s="2333" t="s">
        <v>28</v>
      </c>
      <c r="AL577" s="2113" t="s">
        <v>62</v>
      </c>
      <c r="AM577" s="2300"/>
      <c r="AN577" s="2443">
        <v>1</v>
      </c>
      <c r="AO577" s="2363"/>
      <c r="AP577" s="2364" t="s">
        <v>62</v>
      </c>
      <c r="AQ577" s="689" t="s">
        <v>253</v>
      </c>
      <c r="AR577" s="2443" t="s">
        <v>112</v>
      </c>
      <c r="AS577" s="2582" t="s">
        <v>541</v>
      </c>
      <c r="AT577" s="757"/>
      <c r="AU577" s="1263"/>
      <c r="AV577" s="757"/>
      <c r="AW577" s="1263">
        <v>4091.93</v>
      </c>
      <c r="AX577" s="2608">
        <v>46023.38563657407</v>
      </c>
      <c r="AY577" s="2113" t="s">
        <v>62</v>
      </c>
      <c r="AZ577" s="2608">
        <v>46387.39775462963</v>
      </c>
      <c r="BA577" s="2113" t="s">
        <v>62</v>
      </c>
      <c r="BB577" s="1354"/>
      <c r="BC577" s="2259" t="s">
        <v>514</v>
      </c>
      <c r="BD577" s="1648"/>
      <c r="BE577" s="1630"/>
      <c r="BF577" s="1630" t="str">
        <f>IF(T577="","",T577)</f>
        <v/>
      </c>
      <c r="BG577" s="1630"/>
      <c r="BH577" s="1630"/>
      <c r="BI577" s="1641">
        <v>0</v>
      </c>
    </row>
    <row customHeight="1" ht="14.25">
      <c r="A578" s="1369"/>
      <c r="B578" s="1369"/>
      <c r="C578" s="1369"/>
      <c r="D578" s="1369"/>
      <c r="E578" s="2265"/>
      <c r="F578" s="2265"/>
      <c r="G578" s="2265"/>
      <c r="H578" s="2265"/>
      <c r="I578" s="2292"/>
      <c r="J578" s="2292"/>
      <c r="K578" s="2262" t="str">
        <f>S574&amp;".1"</f>
        <v>.1</v>
      </c>
      <c r="L578" s="1375"/>
      <c r="M578" s="1782"/>
      <c r="N578" s="1782"/>
      <c r="O578" s="1782"/>
      <c r="P578" s="2380"/>
      <c r="Q578" s="2380"/>
      <c r="R578" s="2353">
        <v>1</v>
      </c>
      <c r="S578" s="2347" t="str">
        <f>$K578</f>
        <v>.1</v>
      </c>
      <c r="T578" s="2366"/>
      <c r="U578" s="306"/>
      <c r="V578" s="757"/>
      <c r="W578" s="1263"/>
      <c r="X578" s="757"/>
      <c r="Y578" s="1263"/>
      <c r="Z578" s="2608"/>
      <c r="AA578" s="2113" t="s">
        <v>62</v>
      </c>
      <c r="AB578" s="2608"/>
      <c r="AC578" s="2113" t="s">
        <v>62</v>
      </c>
      <c r="AD578" s="2191" t="s">
        <v>62</v>
      </c>
      <c r="AE578" s="2332"/>
      <c r="AF578" s="2443">
        <v>1</v>
      </c>
      <c r="AG578" s="2369"/>
      <c r="AH578" s="2113" t="s">
        <v>62</v>
      </c>
      <c r="AI578" s="2332"/>
      <c r="AJ578" s="2443">
        <v>1</v>
      </c>
      <c r="AK578" s="2333" t="s">
        <v>28</v>
      </c>
      <c r="AL578" s="2113" t="s">
        <v>62</v>
      </c>
      <c r="AM578" s="2300"/>
      <c r="AN578" s="2443">
        <v>1</v>
      </c>
      <c r="AO578" s="2363"/>
      <c r="AP578" s="2364" t="s">
        <v>62</v>
      </c>
      <c r="AQ578" s="689" t="s">
        <v>253</v>
      </c>
      <c r="AR578" s="2443" t="s">
        <v>91</v>
      </c>
      <c r="AS578" s="2582" t="s">
        <v>541</v>
      </c>
      <c r="AT578" s="757"/>
      <c r="AU578" s="1263"/>
      <c r="AV578" s="757"/>
      <c r="AW578" s="1263">
        <v>4028.02</v>
      </c>
      <c r="AX578" s="2608">
        <v>46023.385671296295</v>
      </c>
      <c r="AY578" s="2113" t="s">
        <v>62</v>
      </c>
      <c r="AZ578" s="2608">
        <v>46387.397824074076</v>
      </c>
      <c r="BA578" s="2113" t="s">
        <v>62</v>
      </c>
      <c r="BB578" s="1354"/>
      <c r="BC578" s="2259" t="s">
        <v>514</v>
      </c>
      <c r="BD578" s="1648"/>
      <c r="BE578" s="1630"/>
      <c r="BF578" s="1630" t="str">
        <f>IF(T578="","",T578)</f>
        <v/>
      </c>
      <c r="BG578" s="1630"/>
      <c r="BH578" s="1630"/>
      <c r="BI578" s="1641">
        <v>0</v>
      </c>
    </row>
    <row customHeight="1" ht="14.25">
      <c r="A579" s="1369"/>
      <c r="B579" s="1369"/>
      <c r="C579" s="1369"/>
      <c r="D579" s="1369"/>
      <c r="E579" s="2265"/>
      <c r="F579" s="2265"/>
      <c r="G579" s="2265"/>
      <c r="H579" s="2265"/>
      <c r="I579" s="2292"/>
      <c r="J579" s="2292"/>
      <c r="K579" s="2262" t="str">
        <f>S575&amp;".1"</f>
        <v>.1</v>
      </c>
      <c r="L579" s="1375"/>
      <c r="M579" s="1782"/>
      <c r="N579" s="1782"/>
      <c r="O579" s="1782"/>
      <c r="P579" s="2380"/>
      <c r="Q579" s="2380"/>
      <c r="R579" s="2353">
        <v>1</v>
      </c>
      <c r="S579" s="2347" t="str">
        <f>$K579</f>
        <v>.1</v>
      </c>
      <c r="T579" s="2366"/>
      <c r="U579" s="306"/>
      <c r="V579" s="757"/>
      <c r="W579" s="1263"/>
      <c r="X579" s="757"/>
      <c r="Y579" s="1263"/>
      <c r="Z579" s="2608"/>
      <c r="AA579" s="2113" t="s">
        <v>62</v>
      </c>
      <c r="AB579" s="2608"/>
      <c r="AC579" s="2113" t="s">
        <v>62</v>
      </c>
      <c r="AD579" s="2191" t="s">
        <v>62</v>
      </c>
      <c r="AE579" s="2332"/>
      <c r="AF579" s="2443">
        <v>1</v>
      </c>
      <c r="AG579" s="2369"/>
      <c r="AH579" s="2113" t="s">
        <v>62</v>
      </c>
      <c r="AI579" s="2332"/>
      <c r="AJ579" s="2443">
        <v>1</v>
      </c>
      <c r="AK579" s="2333" t="s">
        <v>28</v>
      </c>
      <c r="AL579" s="2113" t="s">
        <v>62</v>
      </c>
      <c r="AM579" s="2300"/>
      <c r="AN579" s="2443">
        <v>1</v>
      </c>
      <c r="AO579" s="2363"/>
      <c r="AP579" s="2364" t="s">
        <v>62</v>
      </c>
      <c r="AQ579" s="689" t="s">
        <v>253</v>
      </c>
      <c r="AR579" s="2443" t="s">
        <v>92</v>
      </c>
      <c r="AS579" s="2582" t="s">
        <v>541</v>
      </c>
      <c r="AT579" s="757"/>
      <c r="AU579" s="1263"/>
      <c r="AV579" s="757"/>
      <c r="AW579" s="1263">
        <v>5169.68</v>
      </c>
      <c r="AX579" s="2608">
        <v>46023.38569444444</v>
      </c>
      <c r="AY579" s="2113" t="s">
        <v>62</v>
      </c>
      <c r="AZ579" s="2608">
        <v>46387.397881944446</v>
      </c>
      <c r="BA579" s="2113" t="s">
        <v>62</v>
      </c>
      <c r="BB579" s="1354"/>
      <c r="BC579" s="2259" t="s">
        <v>514</v>
      </c>
      <c r="BD579" s="1648"/>
      <c r="BE579" s="1630"/>
      <c r="BF579" s="1630" t="str">
        <f>IF(T579="","",T579)</f>
        <v/>
      </c>
      <c r="BG579" s="1630"/>
      <c r="BH579" s="1630"/>
      <c r="BI579" s="1641">
        <v>0</v>
      </c>
    </row>
    <row customHeight="1" ht="14.25">
      <c r="A580" s="1369"/>
      <c r="B580" s="1369"/>
      <c r="C580" s="1369"/>
      <c r="D580" s="1369"/>
      <c r="E580" s="2265"/>
      <c r="F580" s="2265"/>
      <c r="G580" s="2265"/>
      <c r="H580" s="2265"/>
      <c r="I580" s="2292"/>
      <c r="J580" s="2292"/>
      <c r="K580" s="2262" t="str">
        <f>S450&amp;".4"</f>
        <v>3.1.1.4</v>
      </c>
      <c r="L580" s="1375"/>
      <c r="M580" s="1782"/>
      <c r="N580" s="1782"/>
      <c r="O580" s="1782"/>
      <c r="P580" s="2380"/>
      <c r="Q580" s="2380"/>
      <c r="R580" s="2353"/>
      <c r="S580" s="2348"/>
      <c r="T580" s="2367"/>
      <c r="U580" s="306"/>
      <c r="V580" s="7380"/>
      <c r="W580" s="7381"/>
      <c r="X580" s="7380"/>
      <c r="Y580" s="7381"/>
      <c r="Z580" s="7380"/>
      <c r="AA580" s="7380"/>
      <c r="AB580" s="7380"/>
      <c r="AC580" s="7380"/>
      <c r="AD580" s="2192"/>
      <c r="AE580" s="2332"/>
      <c r="AF580" s="2443"/>
      <c r="AG580" s="3339" t="s">
        <v>28</v>
      </c>
      <c r="AH580" s="2113"/>
      <c r="AI580" s="2332"/>
      <c r="AJ580" s="2443"/>
      <c r="AK580" s="2333"/>
      <c r="AL580" s="2113"/>
      <c r="AM580" s="2301"/>
      <c r="AN580" s="2443"/>
      <c r="AO580" s="3340" t="s">
        <v>28</v>
      </c>
      <c r="AP580" s="2365"/>
      <c r="AQ580" s="7382"/>
      <c r="AR580" s="7383"/>
      <c r="AS580" s="7455" t="s">
        <v>515</v>
      </c>
      <c r="AT580" s="7380"/>
      <c r="AU580" s="7381"/>
      <c r="AV580" s="7380"/>
      <c r="AW580" s="7381"/>
      <c r="AX580" s="7380"/>
      <c r="AY580" s="7380"/>
      <c r="AZ580" s="7380"/>
      <c r="BA580" s="7380"/>
      <c r="BB580" s="7385"/>
      <c r="BC580" s="2260"/>
      <c r="BD580" s="1648"/>
      <c r="BE580" s="1630"/>
      <c r="BF580" s="1630"/>
      <c r="BG580" s="1630"/>
      <c r="BH580" s="1630"/>
      <c r="BI580" s="1641">
        <v>0</v>
      </c>
    </row>
    <row customHeight="1" ht="14.25">
      <c r="A581" s="1369"/>
      <c r="B581" s="1369"/>
      <c r="C581" s="1369"/>
      <c r="D581" s="1369"/>
      <c r="E581" s="2265"/>
      <c r="F581" s="2265"/>
      <c r="G581" s="2265"/>
      <c r="H581" s="2265"/>
      <c r="I581" s="2292"/>
      <c r="J581" s="2292"/>
      <c r="K581" s="2262" t="str">
        <f>S450&amp;".4"</f>
        <v>3.1.1.4</v>
      </c>
      <c r="L581" s="1375"/>
      <c r="M581" s="1782"/>
      <c r="N581" s="1782"/>
      <c r="O581" s="1782"/>
      <c r="P581" s="2380"/>
      <c r="Q581" s="2380"/>
      <c r="R581" s="2353"/>
      <c r="S581" s="2348"/>
      <c r="T581" s="2367"/>
      <c r="U581" s="306"/>
      <c r="V581" s="7380"/>
      <c r="W581" s="7381"/>
      <c r="X581" s="7380"/>
      <c r="Y581" s="7381"/>
      <c r="Z581" s="7380"/>
      <c r="AA581" s="7380"/>
      <c r="AB581" s="7380"/>
      <c r="AC581" s="7380"/>
      <c r="AD581" s="2192"/>
      <c r="AE581" s="2332"/>
      <c r="AF581" s="2443"/>
      <c r="AG581" s="3339" t="s">
        <v>28</v>
      </c>
      <c r="AH581" s="2113"/>
      <c r="AI581" s="2332"/>
      <c r="AJ581" s="2443"/>
      <c r="AK581" s="2333"/>
      <c r="AL581" s="2113"/>
      <c r="AM581" s="7382"/>
      <c r="AN581" s="7386"/>
      <c r="AO581" s="7456" t="s">
        <v>516</v>
      </c>
      <c r="AP581" s="7383"/>
      <c r="AQ581" s="7383"/>
      <c r="AR581" s="7383"/>
      <c r="AS581" s="7380"/>
      <c r="AT581" s="7380"/>
      <c r="AU581" s="7381"/>
      <c r="AV581" s="7380"/>
      <c r="AW581" s="7381"/>
      <c r="AX581" s="7380"/>
      <c r="AY581" s="7380"/>
      <c r="AZ581" s="7380"/>
      <c r="BA581" s="7380"/>
      <c r="BB581" s="7385"/>
      <c r="BC581" s="2260"/>
      <c r="BD581" s="1648"/>
      <c r="BE581" s="1630"/>
      <c r="BF581" s="1630"/>
      <c r="BG581" s="1630"/>
      <c r="BH581" s="1630"/>
      <c r="BI581" s="1641">
        <v>0</v>
      </c>
    </row>
    <row customHeight="1" ht="14.25">
      <c r="A582" s="1369"/>
      <c r="B582" s="1369"/>
      <c r="C582" s="1369"/>
      <c r="D582" s="1369"/>
      <c r="E582" s="2265"/>
      <c r="F582" s="2265"/>
      <c r="G582" s="2265"/>
      <c r="H582" s="2265"/>
      <c r="I582" s="2292"/>
      <c r="J582" s="2292"/>
      <c r="K582" s="2262" t="str">
        <f>S576&amp;".1"</f>
        <v>3.1.1.5.1</v>
      </c>
      <c r="L582" s="1375"/>
      <c r="M582" s="1782"/>
      <c r="N582" s="1782"/>
      <c r="O582" s="1782"/>
      <c r="P582" s="2380"/>
      <c r="Q582" s="2380"/>
      <c r="R582" s="2353">
        <v>1</v>
      </c>
      <c r="S582" s="2347" t="str">
        <f>$K582</f>
        <v>3.1.1.5.1</v>
      </c>
      <c r="T582" s="2366"/>
      <c r="U582" s="306"/>
      <c r="V582" s="757"/>
      <c r="W582" s="1263"/>
      <c r="X582" s="757"/>
      <c r="Y582" s="1263"/>
      <c r="Z582" s="2608"/>
      <c r="AA582" s="2113" t="s">
        <v>62</v>
      </c>
      <c r="AB582" s="2608"/>
      <c r="AC582" s="2113" t="s">
        <v>62</v>
      </c>
      <c r="AD582" s="2191" t="s">
        <v>62</v>
      </c>
      <c r="AE582" s="2332"/>
      <c r="AF582" s="2443">
        <v>1</v>
      </c>
      <c r="AG582" s="2369"/>
      <c r="AH582" s="2113" t="s">
        <v>62</v>
      </c>
      <c r="AI582" s="689" t="s">
        <v>253</v>
      </c>
      <c r="AJ582" s="2443" t="s">
        <v>112</v>
      </c>
      <c r="AK582" s="2333" t="s">
        <v>534</v>
      </c>
      <c r="AL582" s="2113" t="s">
        <v>19</v>
      </c>
      <c r="AM582" s="2300"/>
      <c r="AN582" s="2443">
        <v>1</v>
      </c>
      <c r="AO582" s="3340" t="s">
        <v>28</v>
      </c>
      <c r="AP582" s="2364" t="s">
        <v>62</v>
      </c>
      <c r="AQ582" s="317"/>
      <c r="AR582" s="2443">
        <v>1</v>
      </c>
      <c r="AS582" s="2582" t="s">
        <v>541</v>
      </c>
      <c r="AT582" s="757"/>
      <c r="AU582" s="1263"/>
      <c r="AV582" s="757"/>
      <c r="AW582" s="1263">
        <v>7217.61</v>
      </c>
      <c r="AX582" s="2608">
        <v>46023.385729166665</v>
      </c>
      <c r="AY582" s="2113" t="s">
        <v>62</v>
      </c>
      <c r="AZ582" s="2608">
        <v>46387.39800925926</v>
      </c>
      <c r="BA582" s="2113" t="s">
        <v>62</v>
      </c>
      <c r="BB582" s="1354"/>
      <c r="BC582" s="2259" t="s">
        <v>514</v>
      </c>
      <c r="BD582" s="1648"/>
      <c r="BE582" s="1630"/>
      <c r="BF582" s="1630" t="str">
        <f>IF(T582="","",T582)</f>
        <v/>
      </c>
      <c r="BG582" s="1630"/>
      <c r="BH582" s="1630"/>
      <c r="BI582" s="1641">
        <v>0</v>
      </c>
    </row>
    <row customHeight="1" ht="14.25">
      <c r="A583" s="1369"/>
      <c r="B583" s="1369"/>
      <c r="C583" s="1369"/>
      <c r="D583" s="1369"/>
      <c r="E583" s="2265"/>
      <c r="F583" s="2265"/>
      <c r="G583" s="2265"/>
      <c r="H583" s="2265"/>
      <c r="I583" s="2292"/>
      <c r="J583" s="2292"/>
      <c r="K583" s="2262" t="str">
        <f>S579&amp;".1"</f>
        <v>.1.1</v>
      </c>
      <c r="L583" s="1375"/>
      <c r="M583" s="1782"/>
      <c r="N583" s="1782"/>
      <c r="O583" s="1782"/>
      <c r="P583" s="2380"/>
      <c r="Q583" s="2380"/>
      <c r="R583" s="2353">
        <v>1</v>
      </c>
      <c r="S583" s="2347" t="str">
        <f>$K583</f>
        <v>.1.1</v>
      </c>
      <c r="T583" s="2366"/>
      <c r="U583" s="306"/>
      <c r="V583" s="757"/>
      <c r="W583" s="1263"/>
      <c r="X583" s="757"/>
      <c r="Y583" s="1263"/>
      <c r="Z583" s="2608"/>
      <c r="AA583" s="2113" t="s">
        <v>62</v>
      </c>
      <c r="AB583" s="2608"/>
      <c r="AC583" s="2113" t="s">
        <v>62</v>
      </c>
      <c r="AD583" s="2191" t="s">
        <v>62</v>
      </c>
      <c r="AE583" s="2332"/>
      <c r="AF583" s="2443">
        <v>1</v>
      </c>
      <c r="AG583" s="2369"/>
      <c r="AH583" s="2113" t="s">
        <v>62</v>
      </c>
      <c r="AI583" s="2332"/>
      <c r="AJ583" s="2443">
        <v>1</v>
      </c>
      <c r="AK583" s="2333" t="s">
        <v>28</v>
      </c>
      <c r="AL583" s="2113" t="s">
        <v>62</v>
      </c>
      <c r="AM583" s="2300"/>
      <c r="AN583" s="2443">
        <v>1</v>
      </c>
      <c r="AO583" s="2363"/>
      <c r="AP583" s="2364" t="s">
        <v>62</v>
      </c>
      <c r="AQ583" s="689" t="s">
        <v>253</v>
      </c>
      <c r="AR583" s="2443" t="s">
        <v>112</v>
      </c>
      <c r="AS583" s="2582" t="s">
        <v>541</v>
      </c>
      <c r="AT583" s="757"/>
      <c r="AU583" s="1263"/>
      <c r="AV583" s="757"/>
      <c r="AW583" s="1263">
        <v>9812.29</v>
      </c>
      <c r="AX583" s="2608">
        <v>46023.38576388889</v>
      </c>
      <c r="AY583" s="2113" t="s">
        <v>62</v>
      </c>
      <c r="AZ583" s="2608">
        <v>46387.39809027778</v>
      </c>
      <c r="BA583" s="2113" t="s">
        <v>62</v>
      </c>
      <c r="BB583" s="1354"/>
      <c r="BC583" s="2259" t="s">
        <v>514</v>
      </c>
      <c r="BD583" s="1648"/>
      <c r="BE583" s="1630"/>
      <c r="BF583" s="1630" t="str">
        <f>IF(T583="","",T583)</f>
        <v/>
      </c>
      <c r="BG583" s="1630"/>
      <c r="BH583" s="1630"/>
      <c r="BI583" s="1641">
        <v>0</v>
      </c>
    </row>
    <row customHeight="1" ht="14.25">
      <c r="A584" s="1369"/>
      <c r="B584" s="1369"/>
      <c r="C584" s="1369"/>
      <c r="D584" s="1369"/>
      <c r="E584" s="2265"/>
      <c r="F584" s="2265"/>
      <c r="G584" s="2265"/>
      <c r="H584" s="2265"/>
      <c r="I584" s="2292"/>
      <c r="J584" s="2292"/>
      <c r="K584" s="2262"/>
      <c r="L584" s="1375"/>
      <c r="M584" s="1782"/>
      <c r="N584" s="1782"/>
      <c r="O584" s="1782"/>
      <c r="P584" s="2380"/>
      <c r="Q584" s="2380"/>
      <c r="R584" s="2353"/>
      <c r="S584" s="2348"/>
      <c r="T584" s="2367"/>
      <c r="U584" s="306"/>
      <c r="V584" s="7380"/>
      <c r="W584" s="7381"/>
      <c r="X584" s="7380"/>
      <c r="Y584" s="7381"/>
      <c r="Z584" s="7380"/>
      <c r="AA584" s="7380"/>
      <c r="AB584" s="7380"/>
      <c r="AC584" s="7380"/>
      <c r="AD584" s="2192"/>
      <c r="AE584" s="2332"/>
      <c r="AF584" s="2443"/>
      <c r="AG584" s="2369"/>
      <c r="AH584" s="2113"/>
      <c r="AI584" s="2332"/>
      <c r="AJ584" s="2443">
        <v>1</v>
      </c>
      <c r="AK584" s="2333"/>
      <c r="AL584" s="2113"/>
      <c r="AM584" s="2301"/>
      <c r="AN584" s="2443"/>
      <c r="AO584" s="3340" t="s">
        <v>28</v>
      </c>
      <c r="AP584" s="2365"/>
      <c r="AQ584" s="7382"/>
      <c r="AR584" s="7383"/>
      <c r="AS584" s="7457" t="s">
        <v>515</v>
      </c>
      <c r="AT584" s="7380"/>
      <c r="AU584" s="7381"/>
      <c r="AV584" s="7380"/>
      <c r="AW584" s="7381"/>
      <c r="AX584" s="7380"/>
      <c r="AY584" s="7380"/>
      <c r="AZ584" s="7380"/>
      <c r="BA584" s="7380"/>
      <c r="BB584" s="7385"/>
      <c r="BC584" s="2260"/>
      <c r="BD584" s="1648"/>
      <c r="BE584" s="1630"/>
      <c r="BF584" s="1630"/>
      <c r="BG584" s="1630"/>
      <c r="BH584" s="1630"/>
      <c r="BI584" s="1641">
        <v>0</v>
      </c>
    </row>
    <row customHeight="1" ht="14.25">
      <c r="A585" s="1369"/>
      <c r="B585" s="1369"/>
      <c r="C585" s="1369"/>
      <c r="D585" s="1369"/>
      <c r="E585" s="2265"/>
      <c r="F585" s="2265"/>
      <c r="G585" s="2265"/>
      <c r="H585" s="2265"/>
      <c r="I585" s="2292"/>
      <c r="J585" s="2292"/>
      <c r="K585" s="2262"/>
      <c r="L585" s="1375"/>
      <c r="M585" s="1782"/>
      <c r="N585" s="1782"/>
      <c r="O585" s="1782"/>
      <c r="P585" s="2380"/>
      <c r="Q585" s="2380"/>
      <c r="R585" s="2353"/>
      <c r="S585" s="2348"/>
      <c r="T585" s="2367"/>
      <c r="U585" s="306"/>
      <c r="V585" s="7380"/>
      <c r="W585" s="7381"/>
      <c r="X585" s="7380"/>
      <c r="Y585" s="7381"/>
      <c r="Z585" s="7380"/>
      <c r="AA585" s="7380"/>
      <c r="AB585" s="7380"/>
      <c r="AC585" s="7380"/>
      <c r="AD585" s="2192"/>
      <c r="AE585" s="2332"/>
      <c r="AF585" s="2443"/>
      <c r="AG585" s="2369"/>
      <c r="AH585" s="2113"/>
      <c r="AI585" s="2332"/>
      <c r="AJ585" s="2443">
        <v>1</v>
      </c>
      <c r="AK585" s="2333"/>
      <c r="AL585" s="2113"/>
      <c r="AM585" s="7382"/>
      <c r="AN585" s="7386"/>
      <c r="AO585" s="7458" t="s">
        <v>516</v>
      </c>
      <c r="AP585" s="7383"/>
      <c r="AQ585" s="7383"/>
      <c r="AR585" s="7383"/>
      <c r="AS585" s="7380"/>
      <c r="AT585" s="7380"/>
      <c r="AU585" s="7381"/>
      <c r="AV585" s="7380"/>
      <c r="AW585" s="7381"/>
      <c r="AX585" s="7380"/>
      <c r="AY585" s="7380"/>
      <c r="AZ585" s="7380"/>
      <c r="BA585" s="7380"/>
      <c r="BB585" s="7385"/>
      <c r="BC585" s="2260"/>
      <c r="BD585" s="1648"/>
      <c r="BE585" s="1630"/>
      <c r="BF585" s="1630"/>
      <c r="BG585" s="1630"/>
      <c r="BH585" s="1630"/>
      <c r="BI585" s="1641">
        <v>0</v>
      </c>
    </row>
    <row customHeight="1" ht="14.25">
      <c r="A586" s="1369"/>
      <c r="B586" s="1369"/>
      <c r="C586" s="1369"/>
      <c r="D586" s="1369"/>
      <c r="E586" s="2265"/>
      <c r="F586" s="2265"/>
      <c r="G586" s="2265"/>
      <c r="H586" s="2265"/>
      <c r="I586" s="2292"/>
      <c r="J586" s="2292"/>
      <c r="K586" s="2262" t="str">
        <f>S581&amp;".1"</f>
        <v>.1</v>
      </c>
      <c r="L586" s="1375"/>
      <c r="M586" s="1782"/>
      <c r="N586" s="1782"/>
      <c r="O586" s="1782"/>
      <c r="P586" s="2380"/>
      <c r="Q586" s="2380"/>
      <c r="R586" s="2353">
        <v>1</v>
      </c>
      <c r="S586" s="2347" t="str">
        <f>$K586</f>
        <v>.1</v>
      </c>
      <c r="T586" s="2366"/>
      <c r="U586" s="306"/>
      <c r="V586" s="757"/>
      <c r="W586" s="1263"/>
      <c r="X586" s="757"/>
      <c r="Y586" s="1263"/>
      <c r="Z586" s="2608"/>
      <c r="AA586" s="2113" t="s">
        <v>62</v>
      </c>
      <c r="AB586" s="2608"/>
      <c r="AC586" s="2113" t="s">
        <v>62</v>
      </c>
      <c r="AD586" s="2191" t="s">
        <v>62</v>
      </c>
      <c r="AE586" s="2332"/>
      <c r="AF586" s="2443">
        <v>1</v>
      </c>
      <c r="AG586" s="2369"/>
      <c r="AH586" s="2113" t="s">
        <v>62</v>
      </c>
      <c r="AI586" s="689" t="s">
        <v>253</v>
      </c>
      <c r="AJ586" s="2443" t="s">
        <v>91</v>
      </c>
      <c r="AK586" s="2333" t="s">
        <v>535</v>
      </c>
      <c r="AL586" s="2113" t="s">
        <v>19</v>
      </c>
      <c r="AM586" s="2300"/>
      <c r="AN586" s="2443">
        <v>1</v>
      </c>
      <c r="AO586" s="3340" t="s">
        <v>28</v>
      </c>
      <c r="AP586" s="2364" t="s">
        <v>62</v>
      </c>
      <c r="AQ586" s="317"/>
      <c r="AR586" s="2443">
        <v>1</v>
      </c>
      <c r="AS586" s="2582" t="s">
        <v>541</v>
      </c>
      <c r="AT586" s="757"/>
      <c r="AU586" s="1263"/>
      <c r="AV586" s="757"/>
      <c r="AW586" s="1263">
        <v>7935.25</v>
      </c>
      <c r="AX586" s="2608">
        <v>46023.385787037034</v>
      </c>
      <c r="AY586" s="2113" t="s">
        <v>62</v>
      </c>
      <c r="AZ586" s="2608">
        <v>46387.398206018515</v>
      </c>
      <c r="BA586" s="2113" t="s">
        <v>62</v>
      </c>
      <c r="BB586" s="1354"/>
      <c r="BC586" s="2259" t="s">
        <v>514</v>
      </c>
      <c r="BD586" s="1648"/>
      <c r="BE586" s="1630"/>
      <c r="BF586" s="1630" t="str">
        <f>IF(T586="","",T586)</f>
        <v/>
      </c>
      <c r="BG586" s="1630"/>
      <c r="BH586" s="1630"/>
      <c r="BI586" s="1641">
        <v>0</v>
      </c>
    </row>
    <row customHeight="1" ht="14.25">
      <c r="A587" s="1369"/>
      <c r="B587" s="1369"/>
      <c r="C587" s="1369"/>
      <c r="D587" s="1369"/>
      <c r="E587" s="2265"/>
      <c r="F587" s="2265"/>
      <c r="G587" s="2265"/>
      <c r="H587" s="2265"/>
      <c r="I587" s="2292"/>
      <c r="J587" s="2292"/>
      <c r="K587" s="2262" t="str">
        <f>S583&amp;".1"</f>
        <v>.1.1.1</v>
      </c>
      <c r="L587" s="1375"/>
      <c r="M587" s="1782"/>
      <c r="N587" s="1782"/>
      <c r="O587" s="1782"/>
      <c r="P587" s="2380"/>
      <c r="Q587" s="2380"/>
      <c r="R587" s="2353">
        <v>1</v>
      </c>
      <c r="S587" s="2347" t="str">
        <f>$K587</f>
        <v>.1.1.1</v>
      </c>
      <c r="T587" s="2366"/>
      <c r="U587" s="306"/>
      <c r="V587" s="757"/>
      <c r="W587" s="1263"/>
      <c r="X587" s="757"/>
      <c r="Y587" s="1263"/>
      <c r="Z587" s="2608"/>
      <c r="AA587" s="2113" t="s">
        <v>62</v>
      </c>
      <c r="AB587" s="2608"/>
      <c r="AC587" s="2113" t="s">
        <v>62</v>
      </c>
      <c r="AD587" s="2191" t="s">
        <v>62</v>
      </c>
      <c r="AE587" s="2332"/>
      <c r="AF587" s="2443">
        <v>1</v>
      </c>
      <c r="AG587" s="2369"/>
      <c r="AH587" s="2113" t="s">
        <v>62</v>
      </c>
      <c r="AI587" s="2332"/>
      <c r="AJ587" s="2443">
        <v>1</v>
      </c>
      <c r="AK587" s="2333" t="s">
        <v>28</v>
      </c>
      <c r="AL587" s="2113" t="s">
        <v>62</v>
      </c>
      <c r="AM587" s="2300"/>
      <c r="AN587" s="2443">
        <v>1</v>
      </c>
      <c r="AO587" s="2363"/>
      <c r="AP587" s="2364" t="s">
        <v>62</v>
      </c>
      <c r="AQ587" s="689" t="s">
        <v>253</v>
      </c>
      <c r="AR587" s="2443" t="s">
        <v>112</v>
      </c>
      <c r="AS587" s="2582" t="s">
        <v>541</v>
      </c>
      <c r="AT587" s="757"/>
      <c r="AU587" s="1263"/>
      <c r="AV587" s="757"/>
      <c r="AW587" s="1263">
        <v>10588.25</v>
      </c>
      <c r="AX587" s="2608">
        <v>46023.385833333334</v>
      </c>
      <c r="AY587" s="2113" t="s">
        <v>62</v>
      </c>
      <c r="AZ587" s="2608">
        <v>46387.39829861111</v>
      </c>
      <c r="BA587" s="2113" t="s">
        <v>62</v>
      </c>
      <c r="BB587" s="1354"/>
      <c r="BC587" s="2259" t="s">
        <v>514</v>
      </c>
      <c r="BD587" s="1648"/>
      <c r="BE587" s="1630"/>
      <c r="BF587" s="1630" t="str">
        <f>IF(T587="","",T587)</f>
        <v/>
      </c>
      <c r="BG587" s="1630"/>
      <c r="BH587" s="1630"/>
      <c r="BI587" s="1641">
        <v>0</v>
      </c>
    </row>
    <row customHeight="1" ht="14.25">
      <c r="A588" s="1369"/>
      <c r="B588" s="1369"/>
      <c r="C588" s="1369"/>
      <c r="D588" s="1369"/>
      <c r="E588" s="2265"/>
      <c r="F588" s="2265"/>
      <c r="G588" s="2265"/>
      <c r="H588" s="2265"/>
      <c r="I588" s="2292"/>
      <c r="J588" s="2292"/>
      <c r="K588" s="2262" t="str">
        <f>S584&amp;".1"</f>
        <v>.1</v>
      </c>
      <c r="L588" s="1375"/>
      <c r="M588" s="1782"/>
      <c r="N588" s="1782"/>
      <c r="O588" s="1782"/>
      <c r="P588" s="2380"/>
      <c r="Q588" s="2380"/>
      <c r="R588" s="2353">
        <v>1</v>
      </c>
      <c r="S588" s="2347" t="str">
        <f>$K588</f>
        <v>.1</v>
      </c>
      <c r="T588" s="2366"/>
      <c r="U588" s="306"/>
      <c r="V588" s="757"/>
      <c r="W588" s="1263"/>
      <c r="X588" s="757"/>
      <c r="Y588" s="1263"/>
      <c r="Z588" s="2608"/>
      <c r="AA588" s="2113" t="s">
        <v>62</v>
      </c>
      <c r="AB588" s="2608"/>
      <c r="AC588" s="2113" t="s">
        <v>62</v>
      </c>
      <c r="AD588" s="2191" t="s">
        <v>62</v>
      </c>
      <c r="AE588" s="2332"/>
      <c r="AF588" s="2443">
        <v>1</v>
      </c>
      <c r="AG588" s="2369"/>
      <c r="AH588" s="2113" t="s">
        <v>62</v>
      </c>
      <c r="AI588" s="2332"/>
      <c r="AJ588" s="2443">
        <v>1</v>
      </c>
      <c r="AK588" s="2333" t="s">
        <v>28</v>
      </c>
      <c r="AL588" s="2113" t="s">
        <v>62</v>
      </c>
      <c r="AM588" s="2300"/>
      <c r="AN588" s="2443">
        <v>1</v>
      </c>
      <c r="AO588" s="2363"/>
      <c r="AP588" s="2364" t="s">
        <v>62</v>
      </c>
      <c r="AQ588" s="689" t="s">
        <v>253</v>
      </c>
      <c r="AR588" s="2443" t="s">
        <v>91</v>
      </c>
      <c r="AS588" s="2582" t="s">
        <v>541</v>
      </c>
      <c r="AT588" s="757"/>
      <c r="AU588" s="1263"/>
      <c r="AV588" s="757"/>
      <c r="AW588" s="1263">
        <v>9017.16</v>
      </c>
      <c r="AX588" s="2608">
        <v>46023.38586805556</v>
      </c>
      <c r="AY588" s="2113" t="s">
        <v>62</v>
      </c>
      <c r="AZ588" s="2608">
        <v>46387.39837962963</v>
      </c>
      <c r="BA588" s="2113" t="s">
        <v>62</v>
      </c>
      <c r="BB588" s="1354"/>
      <c r="BC588" s="2259" t="s">
        <v>514</v>
      </c>
      <c r="BD588" s="1648"/>
      <c r="BE588" s="1630"/>
      <c r="BF588" s="1630" t="str">
        <f>IF(T588="","",T588)</f>
        <v/>
      </c>
      <c r="BG588" s="1630"/>
      <c r="BH588" s="1630"/>
      <c r="BI588" s="1641">
        <v>0</v>
      </c>
    </row>
    <row customHeight="1" ht="14.25">
      <c r="A589" s="1369"/>
      <c r="B589" s="1369"/>
      <c r="C589" s="1369"/>
      <c r="D589" s="1369"/>
      <c r="E589" s="2265"/>
      <c r="F589" s="2265"/>
      <c r="G589" s="2265"/>
      <c r="H589" s="2265"/>
      <c r="I589" s="2292"/>
      <c r="J589" s="2292"/>
      <c r="K589" s="2262" t="str">
        <f>S585&amp;".1"</f>
        <v>.1</v>
      </c>
      <c r="L589" s="1375"/>
      <c r="M589" s="1782"/>
      <c r="N589" s="1782"/>
      <c r="O589" s="1782"/>
      <c r="P589" s="2380"/>
      <c r="Q589" s="2380"/>
      <c r="R589" s="2353">
        <v>1</v>
      </c>
      <c r="S589" s="2347" t="str">
        <f>$K589</f>
        <v>.1</v>
      </c>
      <c r="T589" s="2366"/>
      <c r="U589" s="306"/>
      <c r="V589" s="757"/>
      <c r="W589" s="1263"/>
      <c r="X589" s="757"/>
      <c r="Y589" s="1263"/>
      <c r="Z589" s="2608"/>
      <c r="AA589" s="2113" t="s">
        <v>62</v>
      </c>
      <c r="AB589" s="2608"/>
      <c r="AC589" s="2113" t="s">
        <v>62</v>
      </c>
      <c r="AD589" s="2191" t="s">
        <v>62</v>
      </c>
      <c r="AE589" s="2332"/>
      <c r="AF589" s="2443">
        <v>1</v>
      </c>
      <c r="AG589" s="2369"/>
      <c r="AH589" s="2113" t="s">
        <v>62</v>
      </c>
      <c r="AI589" s="2332"/>
      <c r="AJ589" s="2443">
        <v>1</v>
      </c>
      <c r="AK589" s="2333" t="s">
        <v>28</v>
      </c>
      <c r="AL589" s="2113" t="s">
        <v>62</v>
      </c>
      <c r="AM589" s="2300"/>
      <c r="AN589" s="2443">
        <v>1</v>
      </c>
      <c r="AO589" s="2363"/>
      <c r="AP589" s="2364" t="s">
        <v>62</v>
      </c>
      <c r="AQ589" s="689" t="s">
        <v>253</v>
      </c>
      <c r="AR589" s="2443" t="s">
        <v>92</v>
      </c>
      <c r="AS589" s="2582" t="s">
        <v>541</v>
      </c>
      <c r="AT589" s="757"/>
      <c r="AU589" s="1263"/>
      <c r="AV589" s="757"/>
      <c r="AW589" s="1263">
        <v>11723.74</v>
      </c>
      <c r="AX589" s="2608">
        <v>46023.3858912037</v>
      </c>
      <c r="AY589" s="2113" t="s">
        <v>62</v>
      </c>
      <c r="AZ589" s="2608">
        <v>46387.398460648146</v>
      </c>
      <c r="BA589" s="2113" t="s">
        <v>62</v>
      </c>
      <c r="BB589" s="1354"/>
      <c r="BC589" s="2259" t="s">
        <v>514</v>
      </c>
      <c r="BD589" s="1648"/>
      <c r="BE589" s="1630"/>
      <c r="BF589" s="1630" t="str">
        <f>IF(T589="","",T589)</f>
        <v/>
      </c>
      <c r="BG589" s="1630"/>
      <c r="BH589" s="1630"/>
      <c r="BI589" s="1641">
        <v>0</v>
      </c>
    </row>
    <row customHeight="1" ht="14.25">
      <c r="A590" s="1369"/>
      <c r="B590" s="1369"/>
      <c r="C590" s="1369"/>
      <c r="D590" s="1369"/>
      <c r="E590" s="2265"/>
      <c r="F590" s="2265"/>
      <c r="G590" s="2265"/>
      <c r="H590" s="2265"/>
      <c r="I590" s="2292"/>
      <c r="J590" s="2292"/>
      <c r="K590" s="2262"/>
      <c r="L590" s="1375"/>
      <c r="M590" s="1782"/>
      <c r="N590" s="1782"/>
      <c r="O590" s="1782"/>
      <c r="P590" s="2380"/>
      <c r="Q590" s="2380"/>
      <c r="R590" s="2353"/>
      <c r="S590" s="2348"/>
      <c r="T590" s="2367"/>
      <c r="U590" s="306"/>
      <c r="V590" s="7380"/>
      <c r="W590" s="7381"/>
      <c r="X590" s="7380"/>
      <c r="Y590" s="7381"/>
      <c r="Z590" s="7380"/>
      <c r="AA590" s="7380"/>
      <c r="AB590" s="7380"/>
      <c r="AC590" s="7380"/>
      <c r="AD590" s="2192"/>
      <c r="AE590" s="2332"/>
      <c r="AF590" s="2443"/>
      <c r="AG590" s="2369"/>
      <c r="AH590" s="2113"/>
      <c r="AI590" s="2332"/>
      <c r="AJ590" s="2443" t="s">
        <v>112</v>
      </c>
      <c r="AK590" s="2333"/>
      <c r="AL590" s="2113"/>
      <c r="AM590" s="2301"/>
      <c r="AN590" s="2443"/>
      <c r="AO590" s="3340" t="s">
        <v>28</v>
      </c>
      <c r="AP590" s="2365"/>
      <c r="AQ590" s="7382"/>
      <c r="AR590" s="7383"/>
      <c r="AS590" s="7459" t="s">
        <v>515</v>
      </c>
      <c r="AT590" s="7380"/>
      <c r="AU590" s="7381"/>
      <c r="AV590" s="7380"/>
      <c r="AW590" s="7381"/>
      <c r="AX590" s="7380"/>
      <c r="AY590" s="7380"/>
      <c r="AZ590" s="7380"/>
      <c r="BA590" s="7380"/>
      <c r="BB590" s="7385"/>
      <c r="BC590" s="2260"/>
      <c r="BD590" s="1648"/>
      <c r="BE590" s="1630"/>
      <c r="BF590" s="1630"/>
      <c r="BG590" s="1630"/>
      <c r="BH590" s="1630"/>
      <c r="BI590" s="1641">
        <v>0</v>
      </c>
    </row>
    <row customHeight="1" ht="14.25">
      <c r="A591" s="1369"/>
      <c r="B591" s="1369"/>
      <c r="C591" s="1369"/>
      <c r="D591" s="1369"/>
      <c r="E591" s="2265"/>
      <c r="F591" s="2265"/>
      <c r="G591" s="2265"/>
      <c r="H591" s="2265"/>
      <c r="I591" s="2292"/>
      <c r="J591" s="2292"/>
      <c r="K591" s="2262"/>
      <c r="L591" s="1375"/>
      <c r="M591" s="1782"/>
      <c r="N591" s="1782"/>
      <c r="O591" s="1782"/>
      <c r="P591" s="2380"/>
      <c r="Q591" s="2380"/>
      <c r="R591" s="2353"/>
      <c r="S591" s="2348"/>
      <c r="T591" s="2367"/>
      <c r="U591" s="306"/>
      <c r="V591" s="7380"/>
      <c r="W591" s="7381"/>
      <c r="X591" s="7380"/>
      <c r="Y591" s="7381"/>
      <c r="Z591" s="7380"/>
      <c r="AA591" s="7380"/>
      <c r="AB591" s="7380"/>
      <c r="AC591" s="7380"/>
      <c r="AD591" s="2192"/>
      <c r="AE591" s="2332"/>
      <c r="AF591" s="2443"/>
      <c r="AG591" s="2369"/>
      <c r="AH591" s="2113"/>
      <c r="AI591" s="2332"/>
      <c r="AJ591" s="2443" t="s">
        <v>112</v>
      </c>
      <c r="AK591" s="2333"/>
      <c r="AL591" s="2113"/>
      <c r="AM591" s="7382"/>
      <c r="AN591" s="7386"/>
      <c r="AO591" s="7460" t="s">
        <v>516</v>
      </c>
      <c r="AP591" s="7383"/>
      <c r="AQ591" s="7383"/>
      <c r="AR591" s="7383"/>
      <c r="AS591" s="7380"/>
      <c r="AT591" s="7380"/>
      <c r="AU591" s="7381"/>
      <c r="AV591" s="7380"/>
      <c r="AW591" s="7381"/>
      <c r="AX591" s="7380"/>
      <c r="AY591" s="7380"/>
      <c r="AZ591" s="7380"/>
      <c r="BA591" s="7380"/>
      <c r="BB591" s="7385"/>
      <c r="BC591" s="2260"/>
      <c r="BD591" s="1648"/>
      <c r="BE591" s="1630"/>
      <c r="BF591" s="1630"/>
      <c r="BG591" s="1630"/>
      <c r="BH591" s="1630"/>
      <c r="BI591" s="1641">
        <v>0</v>
      </c>
    </row>
    <row customHeight="1" ht="14.25">
      <c r="A592" s="1369"/>
      <c r="B592" s="1369"/>
      <c r="C592" s="1369"/>
      <c r="D592" s="1369"/>
      <c r="E592" s="2265"/>
      <c r="F592" s="2265"/>
      <c r="G592" s="2265"/>
      <c r="H592" s="2265"/>
      <c r="I592" s="2292"/>
      <c r="J592" s="2292"/>
      <c r="K592" s="2262" t="str">
        <f>S585&amp;".1"</f>
        <v>.1</v>
      </c>
      <c r="L592" s="1375"/>
      <c r="M592" s="1782"/>
      <c r="N592" s="1782"/>
      <c r="O592" s="1782"/>
      <c r="P592" s="2380"/>
      <c r="Q592" s="2380"/>
      <c r="R592" s="2353">
        <v>1</v>
      </c>
      <c r="S592" s="2347" t="str">
        <f>$K592</f>
        <v>.1</v>
      </c>
      <c r="T592" s="2366"/>
      <c r="U592" s="306"/>
      <c r="V592" s="757"/>
      <c r="W592" s="1263"/>
      <c r="X592" s="757"/>
      <c r="Y592" s="1263"/>
      <c r="Z592" s="2608"/>
      <c r="AA592" s="2113" t="s">
        <v>62</v>
      </c>
      <c r="AB592" s="2608"/>
      <c r="AC592" s="2113" t="s">
        <v>62</v>
      </c>
      <c r="AD592" s="2191" t="s">
        <v>62</v>
      </c>
      <c r="AE592" s="2332"/>
      <c r="AF592" s="2443">
        <v>1</v>
      </c>
      <c r="AG592" s="2369"/>
      <c r="AH592" s="2113" t="s">
        <v>62</v>
      </c>
      <c r="AI592" s="689" t="s">
        <v>253</v>
      </c>
      <c r="AJ592" s="2443" t="s">
        <v>92</v>
      </c>
      <c r="AK592" s="2333" t="s">
        <v>536</v>
      </c>
      <c r="AL592" s="2113" t="s">
        <v>19</v>
      </c>
      <c r="AM592" s="2300"/>
      <c r="AN592" s="2443">
        <v>1</v>
      </c>
      <c r="AO592" s="3340" t="s">
        <v>28</v>
      </c>
      <c r="AP592" s="2364" t="s">
        <v>62</v>
      </c>
      <c r="AQ592" s="317"/>
      <c r="AR592" s="2443">
        <v>1</v>
      </c>
      <c r="AS592" s="2582" t="s">
        <v>541</v>
      </c>
      <c r="AT592" s="757"/>
      <c r="AU592" s="1263"/>
      <c r="AV592" s="757"/>
      <c r="AW592" s="1263">
        <v>11346.42</v>
      </c>
      <c r="AX592" s="2608">
        <v>46023.385925925926</v>
      </c>
      <c r="AY592" s="2113" t="s">
        <v>62</v>
      </c>
      <c r="AZ592" s="2608">
        <v>46387.398564814815</v>
      </c>
      <c r="BA592" s="2113" t="s">
        <v>62</v>
      </c>
      <c r="BB592" s="1354"/>
      <c r="BC592" s="2259" t="s">
        <v>514</v>
      </c>
      <c r="BD592" s="1648"/>
      <c r="BE592" s="1630"/>
      <c r="BF592" s="1630" t="str">
        <f>IF(T592="","",T592)</f>
        <v/>
      </c>
      <c r="BG592" s="1630"/>
      <c r="BH592" s="1630"/>
      <c r="BI592" s="1641">
        <v>0</v>
      </c>
    </row>
    <row customHeight="1" ht="14.25">
      <c r="A593" s="1369"/>
      <c r="B593" s="1369"/>
      <c r="C593" s="1369"/>
      <c r="D593" s="1369"/>
      <c r="E593" s="2265"/>
      <c r="F593" s="2265"/>
      <c r="G593" s="2265"/>
      <c r="H593" s="2265"/>
      <c r="I593" s="2292"/>
      <c r="J593" s="2292"/>
      <c r="K593" s="2262" t="str">
        <f>S589&amp;".1"</f>
        <v>.1.1</v>
      </c>
      <c r="L593" s="1375"/>
      <c r="M593" s="1782"/>
      <c r="N593" s="1782"/>
      <c r="O593" s="1782"/>
      <c r="P593" s="2380"/>
      <c r="Q593" s="2380"/>
      <c r="R593" s="2353">
        <v>1</v>
      </c>
      <c r="S593" s="2347" t="str">
        <f>$K593</f>
        <v>.1.1</v>
      </c>
      <c r="T593" s="2366"/>
      <c r="U593" s="306"/>
      <c r="V593" s="757"/>
      <c r="W593" s="1263"/>
      <c r="X593" s="757"/>
      <c r="Y593" s="1263"/>
      <c r="Z593" s="2608"/>
      <c r="AA593" s="2113" t="s">
        <v>62</v>
      </c>
      <c r="AB593" s="2608"/>
      <c r="AC593" s="2113" t="s">
        <v>62</v>
      </c>
      <c r="AD593" s="2191" t="s">
        <v>62</v>
      </c>
      <c r="AE593" s="2332"/>
      <c r="AF593" s="2443">
        <v>1</v>
      </c>
      <c r="AG593" s="2369"/>
      <c r="AH593" s="2113" t="s">
        <v>62</v>
      </c>
      <c r="AI593" s="2332"/>
      <c r="AJ593" s="2443">
        <v>1</v>
      </c>
      <c r="AK593" s="2333" t="s">
        <v>28</v>
      </c>
      <c r="AL593" s="2113" t="s">
        <v>62</v>
      </c>
      <c r="AM593" s="2300"/>
      <c r="AN593" s="2443">
        <v>1</v>
      </c>
      <c r="AO593" s="2363"/>
      <c r="AP593" s="2364" t="s">
        <v>62</v>
      </c>
      <c r="AQ593" s="689" t="s">
        <v>253</v>
      </c>
      <c r="AR593" s="2443" t="s">
        <v>112</v>
      </c>
      <c r="AS593" s="2582" t="s">
        <v>541</v>
      </c>
      <c r="AT593" s="757"/>
      <c r="AU593" s="1263"/>
      <c r="AV593" s="757"/>
      <c r="AW593" s="1263">
        <v>14167.87</v>
      </c>
      <c r="AX593" s="2608">
        <v>46023.38596064815</v>
      </c>
      <c r="AY593" s="2113" t="s">
        <v>62</v>
      </c>
      <c r="AZ593" s="2608">
        <v>46387.39864583333</v>
      </c>
      <c r="BA593" s="2113" t="s">
        <v>62</v>
      </c>
      <c r="BB593" s="1354"/>
      <c r="BC593" s="2259" t="s">
        <v>514</v>
      </c>
      <c r="BD593" s="1648"/>
      <c r="BE593" s="1630"/>
      <c r="BF593" s="1630" t="str">
        <f>IF(T593="","",T593)</f>
        <v/>
      </c>
      <c r="BG593" s="1630"/>
      <c r="BH593" s="1630"/>
      <c r="BI593" s="1641">
        <v>0</v>
      </c>
    </row>
    <row customHeight="1" ht="14.25">
      <c r="A594" s="1369"/>
      <c r="B594" s="1369"/>
      <c r="C594" s="1369"/>
      <c r="D594" s="1369"/>
      <c r="E594" s="2265"/>
      <c r="F594" s="2265"/>
      <c r="G594" s="2265"/>
      <c r="H594" s="2265"/>
      <c r="I594" s="2292"/>
      <c r="J594" s="2292"/>
      <c r="K594" s="2262"/>
      <c r="L594" s="1375"/>
      <c r="M594" s="1782"/>
      <c r="N594" s="1782"/>
      <c r="O594" s="1782"/>
      <c r="P594" s="2380"/>
      <c r="Q594" s="2380"/>
      <c r="R594" s="2353"/>
      <c r="S594" s="2348"/>
      <c r="T594" s="2367"/>
      <c r="U594" s="306"/>
      <c r="V594" s="7380"/>
      <c r="W594" s="7381"/>
      <c r="X594" s="7380"/>
      <c r="Y594" s="7381"/>
      <c r="Z594" s="7380"/>
      <c r="AA594" s="7380"/>
      <c r="AB594" s="7380"/>
      <c r="AC594" s="7380"/>
      <c r="AD594" s="2192"/>
      <c r="AE594" s="2332"/>
      <c r="AF594" s="2443"/>
      <c r="AG594" s="2369"/>
      <c r="AH594" s="2113"/>
      <c r="AI594" s="2332"/>
      <c r="AJ594" s="2443" t="s">
        <v>91</v>
      </c>
      <c r="AK594" s="2333"/>
      <c r="AL594" s="2113"/>
      <c r="AM594" s="2301"/>
      <c r="AN594" s="2443"/>
      <c r="AO594" s="3340" t="s">
        <v>28</v>
      </c>
      <c r="AP594" s="2365"/>
      <c r="AQ594" s="7382"/>
      <c r="AR594" s="7383"/>
      <c r="AS594" s="7461" t="s">
        <v>515</v>
      </c>
      <c r="AT594" s="7380"/>
      <c r="AU594" s="7381"/>
      <c r="AV594" s="7380"/>
      <c r="AW594" s="7381"/>
      <c r="AX594" s="7380"/>
      <c r="AY594" s="7380"/>
      <c r="AZ594" s="7380"/>
      <c r="BA594" s="7380"/>
      <c r="BB594" s="7385"/>
      <c r="BC594" s="2260"/>
      <c r="BD594" s="1648"/>
      <c r="BE594" s="1630"/>
      <c r="BF594" s="1630"/>
      <c r="BG594" s="1630"/>
      <c r="BH594" s="1630"/>
      <c r="BI594" s="1641">
        <v>0</v>
      </c>
    </row>
    <row customHeight="1" ht="14.25">
      <c r="A595" s="1369"/>
      <c r="B595" s="1369"/>
      <c r="C595" s="1369"/>
      <c r="D595" s="1369"/>
      <c r="E595" s="2265"/>
      <c r="F595" s="2265"/>
      <c r="G595" s="2265"/>
      <c r="H595" s="2265"/>
      <c r="I595" s="2292"/>
      <c r="J595" s="2292"/>
      <c r="K595" s="2262"/>
      <c r="L595" s="1375"/>
      <c r="M595" s="1782"/>
      <c r="N595" s="1782"/>
      <c r="O595" s="1782"/>
      <c r="P595" s="2380"/>
      <c r="Q595" s="2380"/>
      <c r="R595" s="2353"/>
      <c r="S595" s="2348"/>
      <c r="T595" s="2367"/>
      <c r="U595" s="306"/>
      <c r="V595" s="7380"/>
      <c r="W595" s="7381"/>
      <c r="X595" s="7380"/>
      <c r="Y595" s="7381"/>
      <c r="Z595" s="7380"/>
      <c r="AA595" s="7380"/>
      <c r="AB595" s="7380"/>
      <c r="AC595" s="7380"/>
      <c r="AD595" s="2192"/>
      <c r="AE595" s="2332"/>
      <c r="AF595" s="2443"/>
      <c r="AG595" s="2369"/>
      <c r="AH595" s="2113"/>
      <c r="AI595" s="2332"/>
      <c r="AJ595" s="2443" t="s">
        <v>91</v>
      </c>
      <c r="AK595" s="2333"/>
      <c r="AL595" s="2113"/>
      <c r="AM595" s="7382"/>
      <c r="AN595" s="7386"/>
      <c r="AO595" s="7462" t="s">
        <v>516</v>
      </c>
      <c r="AP595" s="7383"/>
      <c r="AQ595" s="7383"/>
      <c r="AR595" s="7383"/>
      <c r="AS595" s="7380"/>
      <c r="AT595" s="7380"/>
      <c r="AU595" s="7381"/>
      <c r="AV595" s="7380"/>
      <c r="AW595" s="7381"/>
      <c r="AX595" s="7380"/>
      <c r="AY595" s="7380"/>
      <c r="AZ595" s="7380"/>
      <c r="BA595" s="7380"/>
      <c r="BB595" s="7385"/>
      <c r="BC595" s="2260"/>
      <c r="BD595" s="1648"/>
      <c r="BE595" s="1630"/>
      <c r="BF595" s="1630"/>
      <c r="BG595" s="1630"/>
      <c r="BH595" s="1630"/>
      <c r="BI595" s="1641">
        <v>0</v>
      </c>
    </row>
    <row customHeight="1" ht="14.25">
      <c r="A596" s="1369"/>
      <c r="B596" s="1369"/>
      <c r="C596" s="1369"/>
      <c r="D596" s="1369"/>
      <c r="E596" s="2265"/>
      <c r="F596" s="2265"/>
      <c r="G596" s="2265"/>
      <c r="H596" s="2265"/>
      <c r="I596" s="2292"/>
      <c r="J596" s="2292"/>
      <c r="K596" s="2262" t="str">
        <f>S591&amp;".1"</f>
        <v>.1</v>
      </c>
      <c r="L596" s="1375"/>
      <c r="M596" s="1782"/>
      <c r="N596" s="1782"/>
      <c r="O596" s="1782"/>
      <c r="P596" s="2380"/>
      <c r="Q596" s="2380"/>
      <c r="R596" s="2353">
        <v>1</v>
      </c>
      <c r="S596" s="2347" t="str">
        <f>$K596</f>
        <v>.1</v>
      </c>
      <c r="T596" s="2366"/>
      <c r="U596" s="306"/>
      <c r="V596" s="757"/>
      <c r="W596" s="1263"/>
      <c r="X596" s="757"/>
      <c r="Y596" s="1263"/>
      <c r="Z596" s="2608"/>
      <c r="AA596" s="2113" t="s">
        <v>62</v>
      </c>
      <c r="AB596" s="2608"/>
      <c r="AC596" s="2113" t="s">
        <v>62</v>
      </c>
      <c r="AD596" s="2191" t="s">
        <v>62</v>
      </c>
      <c r="AE596" s="2332"/>
      <c r="AF596" s="2443">
        <v>1</v>
      </c>
      <c r="AG596" s="2369"/>
      <c r="AH596" s="2113" t="s">
        <v>62</v>
      </c>
      <c r="AI596" s="689" t="s">
        <v>253</v>
      </c>
      <c r="AJ596" s="2443" t="s">
        <v>113</v>
      </c>
      <c r="AK596" s="2333" t="s">
        <v>537</v>
      </c>
      <c r="AL596" s="2113" t="s">
        <v>19</v>
      </c>
      <c r="AM596" s="2300"/>
      <c r="AN596" s="2443">
        <v>1</v>
      </c>
      <c r="AO596" s="3340" t="s">
        <v>28</v>
      </c>
      <c r="AP596" s="2364" t="s">
        <v>62</v>
      </c>
      <c r="AQ596" s="317"/>
      <c r="AR596" s="2443">
        <v>1</v>
      </c>
      <c r="AS596" s="2582" t="s">
        <v>541</v>
      </c>
      <c r="AT596" s="757"/>
      <c r="AU596" s="1263"/>
      <c r="AV596" s="757"/>
      <c r="AW596" s="1263">
        <v>13690.56</v>
      </c>
      <c r="AX596" s="2608">
        <v>46023.38599537037</v>
      </c>
      <c r="AY596" s="2113" t="s">
        <v>62</v>
      </c>
      <c r="AZ596" s="2608">
        <v>46387.39871527778</v>
      </c>
      <c r="BA596" s="2113" t="s">
        <v>62</v>
      </c>
      <c r="BB596" s="1354"/>
      <c r="BC596" s="2259" t="s">
        <v>514</v>
      </c>
      <c r="BD596" s="1648"/>
      <c r="BE596" s="1630"/>
      <c r="BF596" s="1630" t="str">
        <f>IF(T596="","",T596)</f>
        <v/>
      </c>
      <c r="BG596" s="1630"/>
      <c r="BH596" s="1630"/>
      <c r="BI596" s="1641">
        <v>0</v>
      </c>
    </row>
    <row customHeight="1" ht="14.25">
      <c r="A597" s="1369"/>
      <c r="B597" s="1369"/>
      <c r="C597" s="1369"/>
      <c r="D597" s="1369"/>
      <c r="E597" s="2265"/>
      <c r="F597" s="2265"/>
      <c r="G597" s="2265"/>
      <c r="H597" s="2265"/>
      <c r="I597" s="2292"/>
      <c r="J597" s="2292"/>
      <c r="K597" s="2262" t="str">
        <f>S593&amp;".1"</f>
        <v>.1.1.1</v>
      </c>
      <c r="L597" s="1375"/>
      <c r="M597" s="1782"/>
      <c r="N597" s="1782"/>
      <c r="O597" s="1782"/>
      <c r="P597" s="2380"/>
      <c r="Q597" s="2380"/>
      <c r="R597" s="2353">
        <v>1</v>
      </c>
      <c r="S597" s="2347" t="str">
        <f>$K597</f>
        <v>.1.1.1</v>
      </c>
      <c r="T597" s="2366"/>
      <c r="U597" s="306"/>
      <c r="V597" s="757"/>
      <c r="W597" s="1263"/>
      <c r="X597" s="757"/>
      <c r="Y597" s="1263"/>
      <c r="Z597" s="2608"/>
      <c r="AA597" s="2113" t="s">
        <v>62</v>
      </c>
      <c r="AB597" s="2608"/>
      <c r="AC597" s="2113" t="s">
        <v>62</v>
      </c>
      <c r="AD597" s="2191" t="s">
        <v>62</v>
      </c>
      <c r="AE597" s="2332"/>
      <c r="AF597" s="2443">
        <v>1</v>
      </c>
      <c r="AG597" s="2369"/>
      <c r="AH597" s="2113" t="s">
        <v>62</v>
      </c>
      <c r="AI597" s="2332"/>
      <c r="AJ597" s="2443">
        <v>1</v>
      </c>
      <c r="AK597" s="2333" t="s">
        <v>28</v>
      </c>
      <c r="AL597" s="2113" t="s">
        <v>62</v>
      </c>
      <c r="AM597" s="2300"/>
      <c r="AN597" s="2443">
        <v>1</v>
      </c>
      <c r="AO597" s="2363"/>
      <c r="AP597" s="2364" t="s">
        <v>62</v>
      </c>
      <c r="AQ597" s="689" t="s">
        <v>253</v>
      </c>
      <c r="AR597" s="2443" t="s">
        <v>112</v>
      </c>
      <c r="AS597" s="2582" t="s">
        <v>541</v>
      </c>
      <c r="AT597" s="757"/>
      <c r="AU597" s="1263"/>
      <c r="AV597" s="757"/>
      <c r="AW597" s="1263">
        <v>16623.26</v>
      </c>
      <c r="AX597" s="2608">
        <v>46023.38601851852</v>
      </c>
      <c r="AY597" s="2113" t="s">
        <v>62</v>
      </c>
      <c r="AZ597" s="2608">
        <v>46387.39879629629</v>
      </c>
      <c r="BA597" s="2113" t="s">
        <v>62</v>
      </c>
      <c r="BB597" s="1354"/>
      <c r="BC597" s="2259" t="s">
        <v>514</v>
      </c>
      <c r="BD597" s="1648"/>
      <c r="BE597" s="1630"/>
      <c r="BF597" s="1630" t="str">
        <f>IF(T597="","",T597)</f>
        <v/>
      </c>
      <c r="BG597" s="1630"/>
      <c r="BH597" s="1630"/>
      <c r="BI597" s="1641">
        <v>0</v>
      </c>
    </row>
    <row customHeight="1" ht="14.25">
      <c r="A598" s="1369"/>
      <c r="B598" s="1369"/>
      <c r="C598" s="1369"/>
      <c r="D598" s="1369"/>
      <c r="E598" s="2265"/>
      <c r="F598" s="2265"/>
      <c r="G598" s="2265"/>
      <c r="H598" s="2265"/>
      <c r="I598" s="2292"/>
      <c r="J598" s="2292"/>
      <c r="K598" s="2262"/>
      <c r="L598" s="1375"/>
      <c r="M598" s="1782"/>
      <c r="N598" s="1782"/>
      <c r="O598" s="1782"/>
      <c r="P598" s="2380"/>
      <c r="Q598" s="2380"/>
      <c r="R598" s="2353"/>
      <c r="S598" s="2348"/>
      <c r="T598" s="2367"/>
      <c r="U598" s="306"/>
      <c r="V598" s="7380"/>
      <c r="W598" s="7381"/>
      <c r="X598" s="7380"/>
      <c r="Y598" s="7381"/>
      <c r="Z598" s="7380"/>
      <c r="AA598" s="7380"/>
      <c r="AB598" s="7380"/>
      <c r="AC598" s="7380"/>
      <c r="AD598" s="2192"/>
      <c r="AE598" s="2332"/>
      <c r="AF598" s="2443"/>
      <c r="AG598" s="2369"/>
      <c r="AH598" s="2113"/>
      <c r="AI598" s="2332"/>
      <c r="AJ598" s="2443" t="s">
        <v>92</v>
      </c>
      <c r="AK598" s="2333"/>
      <c r="AL598" s="2113"/>
      <c r="AM598" s="2301"/>
      <c r="AN598" s="2443"/>
      <c r="AO598" s="3340" t="s">
        <v>28</v>
      </c>
      <c r="AP598" s="2365"/>
      <c r="AQ598" s="7382"/>
      <c r="AR598" s="7383"/>
      <c r="AS598" s="7463" t="s">
        <v>515</v>
      </c>
      <c r="AT598" s="7380"/>
      <c r="AU598" s="7381"/>
      <c r="AV598" s="7380"/>
      <c r="AW598" s="7381"/>
      <c r="AX598" s="7380"/>
      <c r="AY598" s="7380"/>
      <c r="AZ598" s="7380"/>
      <c r="BA598" s="7380"/>
      <c r="BB598" s="7385"/>
      <c r="BC598" s="2260"/>
      <c r="BD598" s="1648"/>
      <c r="BE598" s="1630"/>
      <c r="BF598" s="1630"/>
      <c r="BG598" s="1630"/>
      <c r="BH598" s="1630"/>
      <c r="BI598" s="1641">
        <v>0</v>
      </c>
    </row>
    <row customHeight="1" ht="14.25">
      <c r="A599" s="1369"/>
      <c r="B599" s="1369"/>
      <c r="C599" s="1369"/>
      <c r="D599" s="1369"/>
      <c r="E599" s="2265"/>
      <c r="F599" s="2265"/>
      <c r="G599" s="2265"/>
      <c r="H599" s="2265"/>
      <c r="I599" s="2292"/>
      <c r="J599" s="2292"/>
      <c r="K599" s="2262"/>
      <c r="L599" s="1375"/>
      <c r="M599" s="1782"/>
      <c r="N599" s="1782"/>
      <c r="O599" s="1782"/>
      <c r="P599" s="2380"/>
      <c r="Q599" s="2380"/>
      <c r="R599" s="2353"/>
      <c r="S599" s="2348"/>
      <c r="T599" s="2367"/>
      <c r="U599" s="306"/>
      <c r="V599" s="7380"/>
      <c r="W599" s="7381"/>
      <c r="X599" s="7380"/>
      <c r="Y599" s="7381"/>
      <c r="Z599" s="7380"/>
      <c r="AA599" s="7380"/>
      <c r="AB599" s="7380"/>
      <c r="AC599" s="7380"/>
      <c r="AD599" s="2192"/>
      <c r="AE599" s="2332"/>
      <c r="AF599" s="2443"/>
      <c r="AG599" s="2369"/>
      <c r="AH599" s="2113"/>
      <c r="AI599" s="2332"/>
      <c r="AJ599" s="2443" t="s">
        <v>92</v>
      </c>
      <c r="AK599" s="2333"/>
      <c r="AL599" s="2113"/>
      <c r="AM599" s="7382"/>
      <c r="AN599" s="7386"/>
      <c r="AO599" s="7464" t="s">
        <v>516</v>
      </c>
      <c r="AP599" s="7383"/>
      <c r="AQ599" s="7383"/>
      <c r="AR599" s="7383"/>
      <c r="AS599" s="7380"/>
      <c r="AT599" s="7380"/>
      <c r="AU599" s="7381"/>
      <c r="AV599" s="7380"/>
      <c r="AW599" s="7381"/>
      <c r="AX599" s="7380"/>
      <c r="AY599" s="7380"/>
      <c r="AZ599" s="7380"/>
      <c r="BA599" s="7380"/>
      <c r="BB599" s="7385"/>
      <c r="BC599" s="2260"/>
      <c r="BD599" s="1648"/>
      <c r="BE599" s="1630"/>
      <c r="BF599" s="1630"/>
      <c r="BG599" s="1630"/>
      <c r="BH599" s="1630"/>
      <c r="BI599" s="1641">
        <v>0</v>
      </c>
    </row>
    <row customHeight="1" ht="14.25">
      <c r="A600" s="1369"/>
      <c r="B600" s="1369"/>
      <c r="C600" s="1369"/>
      <c r="D600" s="1369"/>
      <c r="E600" s="2265"/>
      <c r="F600" s="2265"/>
      <c r="G600" s="2265"/>
      <c r="H600" s="2265"/>
      <c r="I600" s="2292"/>
      <c r="J600" s="2292"/>
      <c r="K600" s="2262" t="str">
        <f>S450&amp;".4"</f>
        <v>3.1.1.4</v>
      </c>
      <c r="L600" s="1375"/>
      <c r="M600" s="1782"/>
      <c r="N600" s="1782"/>
      <c r="O600" s="1782"/>
      <c r="P600" s="2380"/>
      <c r="Q600" s="2380"/>
      <c r="R600" s="2353"/>
      <c r="S600" s="2348"/>
      <c r="T600" s="2367"/>
      <c r="U600" s="306"/>
      <c r="V600" s="7380"/>
      <c r="W600" s="7381"/>
      <c r="X600" s="7380"/>
      <c r="Y600" s="7381"/>
      <c r="Z600" s="7380"/>
      <c r="AA600" s="7380"/>
      <c r="AB600" s="7380"/>
      <c r="AC600" s="7380"/>
      <c r="AD600" s="2192"/>
      <c r="AE600" s="2332"/>
      <c r="AF600" s="2443"/>
      <c r="AG600" s="3339" t="s">
        <v>28</v>
      </c>
      <c r="AH600" s="2113"/>
      <c r="AI600" s="7408"/>
      <c r="AJ600" s="7409"/>
      <c r="AK600" s="7465" t="s">
        <v>517</v>
      </c>
      <c r="AL600" s="7380"/>
      <c r="AM600" s="7380"/>
      <c r="AN600" s="7380"/>
      <c r="AO600" s="7380"/>
      <c r="AP600" s="7380"/>
      <c r="AQ600" s="7380"/>
      <c r="AR600" s="7380"/>
      <c r="AS600" s="7380"/>
      <c r="AT600" s="7380"/>
      <c r="AU600" s="7381"/>
      <c r="AV600" s="7380"/>
      <c r="AW600" s="7381"/>
      <c r="AX600" s="7380"/>
      <c r="AY600" s="7380"/>
      <c r="AZ600" s="7380"/>
      <c r="BA600" s="7380"/>
      <c r="BB600" s="7385"/>
      <c r="BC600" s="2260"/>
      <c r="BD600" s="1648"/>
      <c r="BE600" s="1630"/>
      <c r="BF600" s="1630"/>
      <c r="BG600" s="1630"/>
      <c r="BH600" s="1630"/>
      <c r="BI600" s="1641">
        <v>0</v>
      </c>
    </row>
    <row customHeight="1" ht="14.25">
      <c r="A601" s="1369"/>
      <c r="B601" s="1369"/>
      <c r="C601" s="1369"/>
      <c r="D601" s="1369"/>
      <c r="E601" s="2265"/>
      <c r="F601" s="2265"/>
      <c r="G601" s="2265"/>
      <c r="H601" s="2265"/>
      <c r="I601" s="2292"/>
      <c r="J601" s="2292"/>
      <c r="K601" s="2262" t="str">
        <f>S450&amp;".4"</f>
        <v>3.1.1.4</v>
      </c>
      <c r="L601" s="1375"/>
      <c r="M601" s="1782"/>
      <c r="N601" s="1782"/>
      <c r="O601" s="1782"/>
      <c r="P601" s="2380"/>
      <c r="Q601" s="2380"/>
      <c r="R601" s="2353"/>
      <c r="S601" s="2349"/>
      <c r="T601" s="2368"/>
      <c r="U601" s="306"/>
      <c r="V601" s="7380"/>
      <c r="W601" s="7466" t="str">
        <f>Z576&amp;"-"&amp;AB576</f>
        <v>-</v>
      </c>
      <c r="X601" s="7380"/>
      <c r="Y601" s="7467" t="str">
        <f>AB576&amp;"-"&amp;AD576</f>
        <v>-нет</v>
      </c>
      <c r="Z601" s="7380"/>
      <c r="AA601" s="7380"/>
      <c r="AB601" s="7380"/>
      <c r="AC601" s="7380"/>
      <c r="AD601" s="2118"/>
      <c r="AE601" s="7413"/>
      <c r="AF601" s="7414"/>
      <c r="AG601" s="7468" t="s">
        <v>518</v>
      </c>
      <c r="AH601" s="7380"/>
      <c r="AI601" s="7380"/>
      <c r="AJ601" s="7380"/>
      <c r="AK601" s="7380"/>
      <c r="AL601" s="7380"/>
      <c r="AM601" s="7380"/>
      <c r="AN601" s="7380"/>
      <c r="AO601" s="7380"/>
      <c r="AP601" s="7380"/>
      <c r="AQ601" s="7380"/>
      <c r="AR601" s="7380"/>
      <c r="AS601" s="7380"/>
      <c r="AT601" s="7380"/>
      <c r="AU601" s="7469" t="str">
        <f>AX576&amp;"-"&amp;AZ576</f>
        <v>46023.38559027778-46387.39765046296</v>
      </c>
      <c r="AV601" s="7380"/>
      <c r="AW601" s="7470" t="str">
        <f>AZ576&amp;"-"&amp;BB576</f>
        <v>46387.39765046296-</v>
      </c>
      <c r="AX601" s="7380"/>
      <c r="AY601" s="7380"/>
      <c r="AZ601" s="7380"/>
      <c r="BA601" s="7380"/>
      <c r="BB601" s="7471" t="str">
        <f>BE576&amp;"-"&amp;BG576</f>
        <v>-</v>
      </c>
      <c r="BC601" s="2260"/>
      <c r="BD601" s="1648"/>
      <c r="BE601" s="1630"/>
      <c r="BF601" s="1630" t="str">
        <f>IF(T601="","",T601)</f>
        <v/>
      </c>
      <c r="BG601" s="1630"/>
      <c r="BH601" s="1630"/>
      <c r="BI601" s="1641">
        <v>0</v>
      </c>
    </row>
    <row customHeight="1" ht="14.25">
      <c r="A602" s="1369"/>
      <c r="B602" s="1369"/>
      <c r="C602" s="1369"/>
      <c r="D602" s="1369"/>
      <c r="E602" s="2265"/>
      <c r="F602" s="2265"/>
      <c r="G602" s="2265"/>
      <c r="H602" s="2265"/>
      <c r="I602" s="2292"/>
      <c r="J602" s="2292"/>
      <c r="K602" s="2262" t="str">
        <f>S450&amp;".6"</f>
        <v>3.1.1.6</v>
      </c>
      <c r="L602" s="1375"/>
      <c r="M602" s="1782"/>
      <c r="N602" s="1782"/>
      <c r="O602" s="1782"/>
      <c r="P602" s="2380"/>
      <c r="Q602" s="2380"/>
      <c r="R602" s="689" t="s">
        <v>253</v>
      </c>
      <c r="S602" s="2347" t="str">
        <f>$K602</f>
        <v>3.1.1.6</v>
      </c>
      <c r="T602" s="2366" t="s">
        <v>543</v>
      </c>
      <c r="U602" s="306"/>
      <c r="V602" s="757"/>
      <c r="W602" s="1263"/>
      <c r="X602" s="757"/>
      <c r="Y602" s="1263"/>
      <c r="Z602" s="2608"/>
      <c r="AA602" s="2113" t="s">
        <v>62</v>
      </c>
      <c r="AB602" s="2608"/>
      <c r="AC602" s="2113" t="s">
        <v>62</v>
      </c>
      <c r="AD602" s="2191" t="s">
        <v>19</v>
      </c>
      <c r="AE602" s="2332"/>
      <c r="AF602" s="2443">
        <v>1</v>
      </c>
      <c r="AG602" s="3339" t="s">
        <v>28</v>
      </c>
      <c r="AH602" s="2113" t="s">
        <v>62</v>
      </c>
      <c r="AI602" s="2332"/>
      <c r="AJ602" s="2443">
        <v>1</v>
      </c>
      <c r="AK602" s="2333" t="s">
        <v>533</v>
      </c>
      <c r="AL602" s="2113" t="s">
        <v>19</v>
      </c>
      <c r="AM602" s="2300"/>
      <c r="AN602" s="2443">
        <v>1</v>
      </c>
      <c r="AO602" s="3340" t="s">
        <v>28</v>
      </c>
      <c r="AP602" s="2364" t="s">
        <v>62</v>
      </c>
      <c r="AQ602" s="317"/>
      <c r="AR602" s="2443">
        <v>1</v>
      </c>
      <c r="AS602" s="2582" t="s">
        <v>541</v>
      </c>
      <c r="AT602" s="757"/>
      <c r="AU602" s="1263"/>
      <c r="AV602" s="757"/>
      <c r="AW602" s="1263">
        <v>3604.64</v>
      </c>
      <c r="AX602" s="2608">
        <v>46023.38605324074</v>
      </c>
      <c r="AY602" s="2113" t="s">
        <v>62</v>
      </c>
      <c r="AZ602" s="2608">
        <v>46387.39885416667</v>
      </c>
      <c r="BA602" s="2113" t="s">
        <v>62</v>
      </c>
      <c r="BB602" s="1354"/>
      <c r="BC602" s="2259" t="s">
        <v>514</v>
      </c>
      <c r="BD602" s="1648"/>
      <c r="BE602" s="1630"/>
      <c r="BF602" s="1630" t="str">
        <f>IF(T602="","",T602)</f>
        <v>Наружные инженерные водоводы, разработка грунта с погрузкой в автотранспорт, трубы полиэтиленовые диаметром:</v>
      </c>
      <c r="BG602" s="1630"/>
      <c r="BH602" s="1630"/>
      <c r="BI602" s="1641">
        <v>0</v>
      </c>
    </row>
    <row customHeight="1" ht="14.25">
      <c r="A603" s="1369"/>
      <c r="B603" s="1369"/>
      <c r="C603" s="1369"/>
      <c r="D603" s="1369"/>
      <c r="E603" s="2265"/>
      <c r="F603" s="2265"/>
      <c r="G603" s="2265"/>
      <c r="H603" s="2265"/>
      <c r="I603" s="2292"/>
      <c r="J603" s="2292"/>
      <c r="K603" s="2262" t="str">
        <f>S599&amp;".1"</f>
        <v>.1</v>
      </c>
      <c r="L603" s="1375"/>
      <c r="M603" s="1782"/>
      <c r="N603" s="1782"/>
      <c r="O603" s="1782"/>
      <c r="P603" s="2380"/>
      <c r="Q603" s="2380"/>
      <c r="R603" s="2353">
        <v>1</v>
      </c>
      <c r="S603" s="2347" t="str">
        <f>$K603</f>
        <v>.1</v>
      </c>
      <c r="T603" s="2366"/>
      <c r="U603" s="306"/>
      <c r="V603" s="757"/>
      <c r="W603" s="1263"/>
      <c r="X603" s="757"/>
      <c r="Y603" s="1263"/>
      <c r="Z603" s="2608"/>
      <c r="AA603" s="2113" t="s">
        <v>62</v>
      </c>
      <c r="AB603" s="2608"/>
      <c r="AC603" s="2113" t="s">
        <v>62</v>
      </c>
      <c r="AD603" s="2191" t="s">
        <v>62</v>
      </c>
      <c r="AE603" s="2332"/>
      <c r="AF603" s="2443">
        <v>1</v>
      </c>
      <c r="AG603" s="2369"/>
      <c r="AH603" s="2113" t="s">
        <v>62</v>
      </c>
      <c r="AI603" s="2332"/>
      <c r="AJ603" s="2443">
        <v>1</v>
      </c>
      <c r="AK603" s="2333" t="s">
        <v>28</v>
      </c>
      <c r="AL603" s="2113" t="s">
        <v>62</v>
      </c>
      <c r="AM603" s="2300"/>
      <c r="AN603" s="2443">
        <v>1</v>
      </c>
      <c r="AO603" s="2363"/>
      <c r="AP603" s="2364" t="s">
        <v>62</v>
      </c>
      <c r="AQ603" s="689" t="s">
        <v>253</v>
      </c>
      <c r="AR603" s="2443" t="s">
        <v>112</v>
      </c>
      <c r="AS603" s="2582" t="s">
        <v>541</v>
      </c>
      <c r="AT603" s="757"/>
      <c r="AU603" s="1263"/>
      <c r="AV603" s="757"/>
      <c r="AW603" s="1263">
        <v>4565.63</v>
      </c>
      <c r="AX603" s="2608">
        <v>46023.386087962965</v>
      </c>
      <c r="AY603" s="2113" t="s">
        <v>62</v>
      </c>
      <c r="AZ603" s="2608">
        <v>46387.398935185185</v>
      </c>
      <c r="BA603" s="2113" t="s">
        <v>62</v>
      </c>
      <c r="BB603" s="1354"/>
      <c r="BC603" s="2259" t="s">
        <v>514</v>
      </c>
      <c r="BD603" s="1648"/>
      <c r="BE603" s="1630"/>
      <c r="BF603" s="1630" t="str">
        <f>IF(T603="","",T603)</f>
        <v/>
      </c>
      <c r="BG603" s="1630"/>
      <c r="BH603" s="1630"/>
      <c r="BI603" s="1641">
        <v>0</v>
      </c>
    </row>
    <row customHeight="1" ht="14.25">
      <c r="A604" s="1369"/>
      <c r="B604" s="1369"/>
      <c r="C604" s="1369"/>
      <c r="D604" s="1369"/>
      <c r="E604" s="2265"/>
      <c r="F604" s="2265"/>
      <c r="G604" s="2265"/>
      <c r="H604" s="2265"/>
      <c r="I604" s="2292"/>
      <c r="J604" s="2292"/>
      <c r="K604" s="2262" t="str">
        <f>S600&amp;".1"</f>
        <v>.1</v>
      </c>
      <c r="L604" s="1375"/>
      <c r="M604" s="1782"/>
      <c r="N604" s="1782"/>
      <c r="O604" s="1782"/>
      <c r="P604" s="2380"/>
      <c r="Q604" s="2380"/>
      <c r="R604" s="2353">
        <v>1</v>
      </c>
      <c r="S604" s="2347" t="str">
        <f>$K604</f>
        <v>.1</v>
      </c>
      <c r="T604" s="2366"/>
      <c r="U604" s="306"/>
      <c r="V604" s="757"/>
      <c r="W604" s="1263"/>
      <c r="X604" s="757"/>
      <c r="Y604" s="1263"/>
      <c r="Z604" s="2608"/>
      <c r="AA604" s="2113" t="s">
        <v>62</v>
      </c>
      <c r="AB604" s="2608"/>
      <c r="AC604" s="2113" t="s">
        <v>62</v>
      </c>
      <c r="AD604" s="2191" t="s">
        <v>62</v>
      </c>
      <c r="AE604" s="2332"/>
      <c r="AF604" s="2443">
        <v>1</v>
      </c>
      <c r="AG604" s="2369"/>
      <c r="AH604" s="2113" t="s">
        <v>62</v>
      </c>
      <c r="AI604" s="2332"/>
      <c r="AJ604" s="2443">
        <v>1</v>
      </c>
      <c r="AK604" s="2333" t="s">
        <v>28</v>
      </c>
      <c r="AL604" s="2113" t="s">
        <v>62</v>
      </c>
      <c r="AM604" s="2300"/>
      <c r="AN604" s="2443">
        <v>1</v>
      </c>
      <c r="AO604" s="2363"/>
      <c r="AP604" s="2364" t="s">
        <v>62</v>
      </c>
      <c r="AQ604" s="689" t="s">
        <v>253</v>
      </c>
      <c r="AR604" s="2443" t="s">
        <v>91</v>
      </c>
      <c r="AS604" s="2582" t="s">
        <v>541</v>
      </c>
      <c r="AT604" s="757"/>
      <c r="AU604" s="1263"/>
      <c r="AV604" s="757"/>
      <c r="AW604" s="1263">
        <v>4478.06</v>
      </c>
      <c r="AX604" s="2608">
        <v>46023.38612268519</v>
      </c>
      <c r="AY604" s="2113" t="s">
        <v>62</v>
      </c>
      <c r="AZ604" s="2608">
        <v>46387.399039351854</v>
      </c>
      <c r="BA604" s="2113" t="s">
        <v>62</v>
      </c>
      <c r="BB604" s="1354"/>
      <c r="BC604" s="2259" t="s">
        <v>514</v>
      </c>
      <c r="BD604" s="1648"/>
      <c r="BE604" s="1630"/>
      <c r="BF604" s="1630" t="str">
        <f>IF(T604="","",T604)</f>
        <v/>
      </c>
      <c r="BG604" s="1630"/>
      <c r="BH604" s="1630"/>
      <c r="BI604" s="1641">
        <v>0</v>
      </c>
    </row>
    <row customHeight="1" ht="14.25">
      <c r="A605" s="1369"/>
      <c r="B605" s="1369"/>
      <c r="C605" s="1369"/>
      <c r="D605" s="1369"/>
      <c r="E605" s="2265"/>
      <c r="F605" s="2265"/>
      <c r="G605" s="2265"/>
      <c r="H605" s="2265"/>
      <c r="I605" s="2292"/>
      <c r="J605" s="2292"/>
      <c r="K605" s="2262" t="str">
        <f>S601&amp;".1"</f>
        <v>.1</v>
      </c>
      <c r="L605" s="1375"/>
      <c r="M605" s="1782"/>
      <c r="N605" s="1782"/>
      <c r="O605" s="1782"/>
      <c r="P605" s="2380"/>
      <c r="Q605" s="2380"/>
      <c r="R605" s="2353">
        <v>1</v>
      </c>
      <c r="S605" s="2347" t="str">
        <f>$K605</f>
        <v>.1</v>
      </c>
      <c r="T605" s="2366"/>
      <c r="U605" s="306"/>
      <c r="V605" s="757"/>
      <c r="W605" s="1263"/>
      <c r="X605" s="757"/>
      <c r="Y605" s="1263"/>
      <c r="Z605" s="2608"/>
      <c r="AA605" s="2113" t="s">
        <v>62</v>
      </c>
      <c r="AB605" s="2608"/>
      <c r="AC605" s="2113" t="s">
        <v>62</v>
      </c>
      <c r="AD605" s="2191" t="s">
        <v>62</v>
      </c>
      <c r="AE605" s="2332"/>
      <c r="AF605" s="2443">
        <v>1</v>
      </c>
      <c r="AG605" s="2369"/>
      <c r="AH605" s="2113" t="s">
        <v>62</v>
      </c>
      <c r="AI605" s="2332"/>
      <c r="AJ605" s="2443">
        <v>1</v>
      </c>
      <c r="AK605" s="2333" t="s">
        <v>28</v>
      </c>
      <c r="AL605" s="2113" t="s">
        <v>62</v>
      </c>
      <c r="AM605" s="2300"/>
      <c r="AN605" s="2443">
        <v>1</v>
      </c>
      <c r="AO605" s="2363"/>
      <c r="AP605" s="2364" t="s">
        <v>62</v>
      </c>
      <c r="AQ605" s="689" t="s">
        <v>253</v>
      </c>
      <c r="AR605" s="2443" t="s">
        <v>92</v>
      </c>
      <c r="AS605" s="2582" t="s">
        <v>541</v>
      </c>
      <c r="AT605" s="757"/>
      <c r="AU605" s="1263"/>
      <c r="AV605" s="757"/>
      <c r="AW605" s="1263">
        <v>5842.06</v>
      </c>
      <c r="AX605" s="2608">
        <v>46023.38615740741</v>
      </c>
      <c r="AY605" s="2113" t="s">
        <v>62</v>
      </c>
      <c r="AZ605" s="2608">
        <v>46387.39954861111</v>
      </c>
      <c r="BA605" s="2113" t="s">
        <v>62</v>
      </c>
      <c r="BB605" s="1354"/>
      <c r="BC605" s="2259" t="s">
        <v>514</v>
      </c>
      <c r="BD605" s="1648"/>
      <c r="BE605" s="1630"/>
      <c r="BF605" s="1630" t="str">
        <f>IF(T605="","",T605)</f>
        <v/>
      </c>
      <c r="BG605" s="1630"/>
      <c r="BH605" s="1630"/>
      <c r="BI605" s="1641">
        <v>0</v>
      </c>
    </row>
    <row customHeight="1" ht="14.25">
      <c r="A606" s="1369"/>
      <c r="B606" s="1369"/>
      <c r="C606" s="1369"/>
      <c r="D606" s="1369"/>
      <c r="E606" s="2265"/>
      <c r="F606" s="2265"/>
      <c r="G606" s="2265"/>
      <c r="H606" s="2265"/>
      <c r="I606" s="2292"/>
      <c r="J606" s="2292"/>
      <c r="K606" s="2262" t="str">
        <f>S450&amp;".5"</f>
        <v>3.1.1.5</v>
      </c>
      <c r="L606" s="1375"/>
      <c r="M606" s="1782"/>
      <c r="N606" s="1782"/>
      <c r="O606" s="1782"/>
      <c r="P606" s="2380"/>
      <c r="Q606" s="2380"/>
      <c r="R606" s="2353"/>
      <c r="S606" s="2348"/>
      <c r="T606" s="2367"/>
      <c r="U606" s="306"/>
      <c r="V606" s="7380"/>
      <c r="W606" s="7381"/>
      <c r="X606" s="7380"/>
      <c r="Y606" s="7381"/>
      <c r="Z606" s="7380"/>
      <c r="AA606" s="7380"/>
      <c r="AB606" s="7380"/>
      <c r="AC606" s="7380"/>
      <c r="AD606" s="2192"/>
      <c r="AE606" s="2332"/>
      <c r="AF606" s="2443"/>
      <c r="AG606" s="3339" t="s">
        <v>28</v>
      </c>
      <c r="AH606" s="2113"/>
      <c r="AI606" s="2332"/>
      <c r="AJ606" s="2443"/>
      <c r="AK606" s="2333"/>
      <c r="AL606" s="2113"/>
      <c r="AM606" s="2301"/>
      <c r="AN606" s="2443"/>
      <c r="AO606" s="3340" t="s">
        <v>28</v>
      </c>
      <c r="AP606" s="2365"/>
      <c r="AQ606" s="7382"/>
      <c r="AR606" s="7383"/>
      <c r="AS606" s="7472" t="s">
        <v>515</v>
      </c>
      <c r="AT606" s="7380"/>
      <c r="AU606" s="7381"/>
      <c r="AV606" s="7380"/>
      <c r="AW606" s="7381"/>
      <c r="AX606" s="7380"/>
      <c r="AY606" s="7380"/>
      <c r="AZ606" s="7380"/>
      <c r="BA606" s="7380"/>
      <c r="BB606" s="7385"/>
      <c r="BC606" s="2260"/>
      <c r="BD606" s="1648"/>
      <c r="BE606" s="1630"/>
      <c r="BF606" s="1630"/>
      <c r="BG606" s="1630"/>
      <c r="BH606" s="1630"/>
      <c r="BI606" s="1641">
        <v>0</v>
      </c>
    </row>
    <row customHeight="1" ht="14.25">
      <c r="A607" s="1369"/>
      <c r="B607" s="1369"/>
      <c r="C607" s="1369"/>
      <c r="D607" s="1369"/>
      <c r="E607" s="2265"/>
      <c r="F607" s="2265"/>
      <c r="G607" s="2265"/>
      <c r="H607" s="2265"/>
      <c r="I607" s="2292"/>
      <c r="J607" s="2292"/>
      <c r="K607" s="2262" t="str">
        <f>S450&amp;".5"</f>
        <v>3.1.1.5</v>
      </c>
      <c r="L607" s="1375"/>
      <c r="M607" s="1782"/>
      <c r="N607" s="1782"/>
      <c r="O607" s="1782"/>
      <c r="P607" s="2380"/>
      <c r="Q607" s="2380"/>
      <c r="R607" s="2353"/>
      <c r="S607" s="2348"/>
      <c r="T607" s="2367"/>
      <c r="U607" s="306"/>
      <c r="V607" s="7380"/>
      <c r="W607" s="7381"/>
      <c r="X607" s="7380"/>
      <c r="Y607" s="7381"/>
      <c r="Z607" s="7380"/>
      <c r="AA607" s="7380"/>
      <c r="AB607" s="7380"/>
      <c r="AC607" s="7380"/>
      <c r="AD607" s="2192"/>
      <c r="AE607" s="2332"/>
      <c r="AF607" s="2443"/>
      <c r="AG607" s="3339" t="s">
        <v>28</v>
      </c>
      <c r="AH607" s="2113"/>
      <c r="AI607" s="2332"/>
      <c r="AJ607" s="2443"/>
      <c r="AK607" s="2333"/>
      <c r="AL607" s="2113"/>
      <c r="AM607" s="7382"/>
      <c r="AN607" s="7386"/>
      <c r="AO607" s="7473" t="s">
        <v>516</v>
      </c>
      <c r="AP607" s="7383"/>
      <c r="AQ607" s="7383"/>
      <c r="AR607" s="7383"/>
      <c r="AS607" s="7380"/>
      <c r="AT607" s="7380"/>
      <c r="AU607" s="7381"/>
      <c r="AV607" s="7380"/>
      <c r="AW607" s="7381"/>
      <c r="AX607" s="7380"/>
      <c r="AY607" s="7380"/>
      <c r="AZ607" s="7380"/>
      <c r="BA607" s="7380"/>
      <c r="BB607" s="7385"/>
      <c r="BC607" s="2260"/>
      <c r="BD607" s="1648"/>
      <c r="BE607" s="1630"/>
      <c r="BF607" s="1630"/>
      <c r="BG607" s="1630"/>
      <c r="BH607" s="1630"/>
      <c r="BI607" s="1641">
        <v>0</v>
      </c>
    </row>
    <row customHeight="1" ht="14.25">
      <c r="A608" s="1369"/>
      <c r="B608" s="1369"/>
      <c r="C608" s="1369"/>
      <c r="D608" s="1369"/>
      <c r="E608" s="2265"/>
      <c r="F608" s="2265"/>
      <c r="G608" s="2265"/>
      <c r="H608" s="2265"/>
      <c r="I608" s="2292"/>
      <c r="J608" s="2292"/>
      <c r="K608" s="2262" t="str">
        <f>S601&amp;".1"</f>
        <v>.1</v>
      </c>
      <c r="L608" s="1375"/>
      <c r="M608" s="1782"/>
      <c r="N608" s="1782"/>
      <c r="O608" s="1782"/>
      <c r="P608" s="2380"/>
      <c r="Q608" s="2380"/>
      <c r="R608" s="2353">
        <v>1</v>
      </c>
      <c r="S608" s="2347" t="str">
        <f>$K608</f>
        <v>.1</v>
      </c>
      <c r="T608" s="2366"/>
      <c r="U608" s="306"/>
      <c r="V608" s="757"/>
      <c r="W608" s="1263"/>
      <c r="X608" s="757"/>
      <c r="Y608" s="1263"/>
      <c r="Z608" s="2608"/>
      <c r="AA608" s="2113" t="s">
        <v>62</v>
      </c>
      <c r="AB608" s="2608"/>
      <c r="AC608" s="2113" t="s">
        <v>62</v>
      </c>
      <c r="AD608" s="2191" t="s">
        <v>62</v>
      </c>
      <c r="AE608" s="2332"/>
      <c r="AF608" s="2443">
        <v>1</v>
      </c>
      <c r="AG608" s="2369"/>
      <c r="AH608" s="2113" t="s">
        <v>62</v>
      </c>
      <c r="AI608" s="689" t="s">
        <v>253</v>
      </c>
      <c r="AJ608" s="2443" t="s">
        <v>112</v>
      </c>
      <c r="AK608" s="2333" t="s">
        <v>534</v>
      </c>
      <c r="AL608" s="2113" t="s">
        <v>19</v>
      </c>
      <c r="AM608" s="2300"/>
      <c r="AN608" s="2443">
        <v>1</v>
      </c>
      <c r="AO608" s="3340" t="s">
        <v>28</v>
      </c>
      <c r="AP608" s="2364" t="s">
        <v>62</v>
      </c>
      <c r="AQ608" s="317"/>
      <c r="AR608" s="2443">
        <v>1</v>
      </c>
      <c r="AS608" s="2582" t="s">
        <v>541</v>
      </c>
      <c r="AT608" s="757"/>
      <c r="AU608" s="1263"/>
      <c r="AV608" s="757"/>
      <c r="AW608" s="1263">
        <v>8240.43</v>
      </c>
      <c r="AX608" s="2608">
        <v>46023.38621527778</v>
      </c>
      <c r="AY608" s="2113" t="s">
        <v>62</v>
      </c>
      <c r="AZ608" s="2608">
        <v>46387.3996412037</v>
      </c>
      <c r="BA608" s="2113" t="s">
        <v>62</v>
      </c>
      <c r="BB608" s="1354"/>
      <c r="BC608" s="2259" t="s">
        <v>514</v>
      </c>
      <c r="BD608" s="1648"/>
      <c r="BE608" s="1630"/>
      <c r="BF608" s="1630" t="str">
        <f>IF(T608="","",T608)</f>
        <v/>
      </c>
      <c r="BG608" s="1630"/>
      <c r="BH608" s="1630"/>
      <c r="BI608" s="1641">
        <v>0</v>
      </c>
    </row>
    <row customHeight="1" ht="14.25">
      <c r="A609" s="1369"/>
      <c r="B609" s="1369"/>
      <c r="C609" s="1369"/>
      <c r="D609" s="1369"/>
      <c r="E609" s="2265"/>
      <c r="F609" s="2265"/>
      <c r="G609" s="2265"/>
      <c r="H609" s="2265"/>
      <c r="I609" s="2292"/>
      <c r="J609" s="2292"/>
      <c r="K609" s="2262" t="str">
        <f>S605&amp;".1"</f>
        <v>.1.1</v>
      </c>
      <c r="L609" s="1375"/>
      <c r="M609" s="1782"/>
      <c r="N609" s="1782"/>
      <c r="O609" s="1782"/>
      <c r="P609" s="2380"/>
      <c r="Q609" s="2380"/>
      <c r="R609" s="2353">
        <v>1</v>
      </c>
      <c r="S609" s="2347" t="str">
        <f>$K609</f>
        <v>.1.1</v>
      </c>
      <c r="T609" s="2366"/>
      <c r="U609" s="306"/>
      <c r="V609" s="757"/>
      <c r="W609" s="1263"/>
      <c r="X609" s="757"/>
      <c r="Y609" s="1263"/>
      <c r="Z609" s="2608"/>
      <c r="AA609" s="2113" t="s">
        <v>62</v>
      </c>
      <c r="AB609" s="2608"/>
      <c r="AC609" s="2113" t="s">
        <v>62</v>
      </c>
      <c r="AD609" s="2191" t="s">
        <v>62</v>
      </c>
      <c r="AE609" s="2332"/>
      <c r="AF609" s="2443">
        <v>1</v>
      </c>
      <c r="AG609" s="2369"/>
      <c r="AH609" s="2113" t="s">
        <v>62</v>
      </c>
      <c r="AI609" s="2332"/>
      <c r="AJ609" s="2443">
        <v>1</v>
      </c>
      <c r="AK609" s="2333" t="s">
        <v>28</v>
      </c>
      <c r="AL609" s="2113" t="s">
        <v>62</v>
      </c>
      <c r="AM609" s="2300"/>
      <c r="AN609" s="2443">
        <v>1</v>
      </c>
      <c r="AO609" s="2363"/>
      <c r="AP609" s="2364" t="s">
        <v>62</v>
      </c>
      <c r="AQ609" s="689" t="s">
        <v>253</v>
      </c>
      <c r="AR609" s="2443" t="s">
        <v>112</v>
      </c>
      <c r="AS609" s="2582" t="s">
        <v>541</v>
      </c>
      <c r="AT609" s="757"/>
      <c r="AU609" s="1263"/>
      <c r="AV609" s="757"/>
      <c r="AW609" s="1263">
        <v>11340.36</v>
      </c>
      <c r="AX609" s="2608">
        <v>46023.38625</v>
      </c>
      <c r="AY609" s="2113" t="s">
        <v>62</v>
      </c>
      <c r="AZ609" s="2608">
        <v>46387.39971064815</v>
      </c>
      <c r="BA609" s="2113" t="s">
        <v>62</v>
      </c>
      <c r="BB609" s="1354"/>
      <c r="BC609" s="2259" t="s">
        <v>514</v>
      </c>
      <c r="BD609" s="1648"/>
      <c r="BE609" s="1630"/>
      <c r="BF609" s="1630" t="str">
        <f>IF(T609="","",T609)</f>
        <v/>
      </c>
      <c r="BG609" s="1630"/>
      <c r="BH609" s="1630"/>
      <c r="BI609" s="1641">
        <v>0</v>
      </c>
    </row>
    <row customHeight="1" ht="14.25">
      <c r="A610" s="1369"/>
      <c r="B610" s="1369"/>
      <c r="C610" s="1369"/>
      <c r="D610" s="1369"/>
      <c r="E610" s="2265"/>
      <c r="F610" s="2265"/>
      <c r="G610" s="2265"/>
      <c r="H610" s="2265"/>
      <c r="I610" s="2292"/>
      <c r="J610" s="2292"/>
      <c r="K610" s="2262"/>
      <c r="L610" s="1375"/>
      <c r="M610" s="1782"/>
      <c r="N610" s="1782"/>
      <c r="O610" s="1782"/>
      <c r="P610" s="2380"/>
      <c r="Q610" s="2380"/>
      <c r="R610" s="2353"/>
      <c r="S610" s="2348"/>
      <c r="T610" s="2367"/>
      <c r="U610" s="306"/>
      <c r="V610" s="7380"/>
      <c r="W610" s="7381"/>
      <c r="X610" s="7380"/>
      <c r="Y610" s="7381"/>
      <c r="Z610" s="7380"/>
      <c r="AA610" s="7380"/>
      <c r="AB610" s="7380"/>
      <c r="AC610" s="7380"/>
      <c r="AD610" s="2192"/>
      <c r="AE610" s="2332"/>
      <c r="AF610" s="2443"/>
      <c r="AG610" s="2369"/>
      <c r="AH610" s="2113"/>
      <c r="AI610" s="2332"/>
      <c r="AJ610" s="2443">
        <v>1</v>
      </c>
      <c r="AK610" s="2333"/>
      <c r="AL610" s="2113"/>
      <c r="AM610" s="2301"/>
      <c r="AN610" s="2443"/>
      <c r="AO610" s="3340" t="s">
        <v>28</v>
      </c>
      <c r="AP610" s="2365"/>
      <c r="AQ610" s="7382"/>
      <c r="AR610" s="7383"/>
      <c r="AS610" s="7474" t="s">
        <v>515</v>
      </c>
      <c r="AT610" s="7380"/>
      <c r="AU610" s="7381"/>
      <c r="AV610" s="7380"/>
      <c r="AW610" s="7381"/>
      <c r="AX610" s="7380"/>
      <c r="AY610" s="7380"/>
      <c r="AZ610" s="7380"/>
      <c r="BA610" s="7380"/>
      <c r="BB610" s="7385"/>
      <c r="BC610" s="2260"/>
      <c r="BD610" s="1648"/>
      <c r="BE610" s="1630"/>
      <c r="BF610" s="1630"/>
      <c r="BG610" s="1630"/>
      <c r="BH610" s="1630"/>
      <c r="BI610" s="1641">
        <v>0</v>
      </c>
    </row>
    <row customHeight="1" ht="14.25">
      <c r="A611" s="1369"/>
      <c r="B611" s="1369"/>
      <c r="C611" s="1369"/>
      <c r="D611" s="1369"/>
      <c r="E611" s="2265"/>
      <c r="F611" s="2265"/>
      <c r="G611" s="2265"/>
      <c r="H611" s="2265"/>
      <c r="I611" s="2292"/>
      <c r="J611" s="2292"/>
      <c r="K611" s="2262"/>
      <c r="L611" s="1375"/>
      <c r="M611" s="1782"/>
      <c r="N611" s="1782"/>
      <c r="O611" s="1782"/>
      <c r="P611" s="2380"/>
      <c r="Q611" s="2380"/>
      <c r="R611" s="2353"/>
      <c r="S611" s="2348"/>
      <c r="T611" s="2367"/>
      <c r="U611" s="306"/>
      <c r="V611" s="7380"/>
      <c r="W611" s="7381"/>
      <c r="X611" s="7380"/>
      <c r="Y611" s="7381"/>
      <c r="Z611" s="7380"/>
      <c r="AA611" s="7380"/>
      <c r="AB611" s="7380"/>
      <c r="AC611" s="7380"/>
      <c r="AD611" s="2192"/>
      <c r="AE611" s="2332"/>
      <c r="AF611" s="2443"/>
      <c r="AG611" s="2369"/>
      <c r="AH611" s="2113"/>
      <c r="AI611" s="2332"/>
      <c r="AJ611" s="2443">
        <v>1</v>
      </c>
      <c r="AK611" s="2333"/>
      <c r="AL611" s="2113"/>
      <c r="AM611" s="7382"/>
      <c r="AN611" s="7386"/>
      <c r="AO611" s="7475" t="s">
        <v>516</v>
      </c>
      <c r="AP611" s="7383"/>
      <c r="AQ611" s="7383"/>
      <c r="AR611" s="7383"/>
      <c r="AS611" s="7380"/>
      <c r="AT611" s="7380"/>
      <c r="AU611" s="7381"/>
      <c r="AV611" s="7380"/>
      <c r="AW611" s="7381"/>
      <c r="AX611" s="7380"/>
      <c r="AY611" s="7380"/>
      <c r="AZ611" s="7380"/>
      <c r="BA611" s="7380"/>
      <c r="BB611" s="7385"/>
      <c r="BC611" s="2260"/>
      <c r="BD611" s="1648"/>
      <c r="BE611" s="1630"/>
      <c r="BF611" s="1630"/>
      <c r="BG611" s="1630"/>
      <c r="BH611" s="1630"/>
      <c r="BI611" s="1641">
        <v>0</v>
      </c>
    </row>
    <row customHeight="1" ht="14.25">
      <c r="A612" s="1369"/>
      <c r="B612" s="1369"/>
      <c r="C612" s="1369"/>
      <c r="D612" s="1369"/>
      <c r="E612" s="2265"/>
      <c r="F612" s="2265"/>
      <c r="G612" s="2265"/>
      <c r="H612" s="2265"/>
      <c r="I612" s="2292"/>
      <c r="J612" s="2292"/>
      <c r="K612" s="2262" t="str">
        <f>S607&amp;".1"</f>
        <v>.1</v>
      </c>
      <c r="L612" s="1375"/>
      <c r="M612" s="1782"/>
      <c r="N612" s="1782"/>
      <c r="O612" s="1782"/>
      <c r="P612" s="2380"/>
      <c r="Q612" s="2380"/>
      <c r="R612" s="2353">
        <v>1</v>
      </c>
      <c r="S612" s="2347" t="str">
        <f>$K612</f>
        <v>.1</v>
      </c>
      <c r="T612" s="2366"/>
      <c r="U612" s="306"/>
      <c r="V612" s="757"/>
      <c r="W612" s="1263"/>
      <c r="X612" s="757"/>
      <c r="Y612" s="1263"/>
      <c r="Z612" s="2608"/>
      <c r="AA612" s="2113" t="s">
        <v>62</v>
      </c>
      <c r="AB612" s="2608"/>
      <c r="AC612" s="2113" t="s">
        <v>62</v>
      </c>
      <c r="AD612" s="2191" t="s">
        <v>62</v>
      </c>
      <c r="AE612" s="2332"/>
      <c r="AF612" s="2443">
        <v>1</v>
      </c>
      <c r="AG612" s="2369"/>
      <c r="AH612" s="2113" t="s">
        <v>62</v>
      </c>
      <c r="AI612" s="689" t="s">
        <v>253</v>
      </c>
      <c r="AJ612" s="2443" t="s">
        <v>91</v>
      </c>
      <c r="AK612" s="2333" t="s">
        <v>535</v>
      </c>
      <c r="AL612" s="2113" t="s">
        <v>19</v>
      </c>
      <c r="AM612" s="2300"/>
      <c r="AN612" s="2443">
        <v>1</v>
      </c>
      <c r="AO612" s="3340" t="s">
        <v>28</v>
      </c>
      <c r="AP612" s="2364" t="s">
        <v>62</v>
      </c>
      <c r="AQ612" s="317"/>
      <c r="AR612" s="2443">
        <v>1</v>
      </c>
      <c r="AS612" s="2582" t="s">
        <v>541</v>
      </c>
      <c r="AT612" s="757"/>
      <c r="AU612" s="1263"/>
      <c r="AV612" s="757"/>
      <c r="AW612" s="1263">
        <v>8862.63</v>
      </c>
      <c r="AX612" s="2608">
        <v>46023.38627314815</v>
      </c>
      <c r="AY612" s="2113" t="s">
        <v>62</v>
      </c>
      <c r="AZ612" s="2608">
        <v>46387.39983796296</v>
      </c>
      <c r="BA612" s="2113" t="s">
        <v>62</v>
      </c>
      <c r="BB612" s="1354"/>
      <c r="BC612" s="2259" t="s">
        <v>514</v>
      </c>
      <c r="BD612" s="1648"/>
      <c r="BE612" s="1630"/>
      <c r="BF612" s="1630" t="str">
        <f>IF(T612="","",T612)</f>
        <v/>
      </c>
      <c r="BG612" s="1630"/>
      <c r="BH612" s="1630"/>
      <c r="BI612" s="1641">
        <v>0</v>
      </c>
    </row>
    <row customHeight="1" ht="14.25">
      <c r="A613" s="1369"/>
      <c r="B613" s="1369"/>
      <c r="C613" s="1369"/>
      <c r="D613" s="1369"/>
      <c r="E613" s="2265"/>
      <c r="F613" s="2265"/>
      <c r="G613" s="2265"/>
      <c r="H613" s="2265"/>
      <c r="I613" s="2292"/>
      <c r="J613" s="2292"/>
      <c r="K613" s="2262" t="str">
        <f>S609&amp;".1"</f>
        <v>.1.1.1</v>
      </c>
      <c r="L613" s="1375"/>
      <c r="M613" s="1782"/>
      <c r="N613" s="1782"/>
      <c r="O613" s="1782"/>
      <c r="P613" s="2380"/>
      <c r="Q613" s="2380"/>
      <c r="R613" s="2353">
        <v>1</v>
      </c>
      <c r="S613" s="2347" t="str">
        <f>$K613</f>
        <v>.1.1.1</v>
      </c>
      <c r="T613" s="2366"/>
      <c r="U613" s="306"/>
      <c r="V613" s="757"/>
      <c r="W613" s="1263"/>
      <c r="X613" s="757"/>
      <c r="Y613" s="1263"/>
      <c r="Z613" s="2608"/>
      <c r="AA613" s="2113" t="s">
        <v>62</v>
      </c>
      <c r="AB613" s="2608"/>
      <c r="AC613" s="2113" t="s">
        <v>62</v>
      </c>
      <c r="AD613" s="2191" t="s">
        <v>62</v>
      </c>
      <c r="AE613" s="2332"/>
      <c r="AF613" s="2443">
        <v>1</v>
      </c>
      <c r="AG613" s="2369"/>
      <c r="AH613" s="2113" t="s">
        <v>62</v>
      </c>
      <c r="AI613" s="2332"/>
      <c r="AJ613" s="2443">
        <v>1</v>
      </c>
      <c r="AK613" s="2333" t="s">
        <v>28</v>
      </c>
      <c r="AL613" s="2113" t="s">
        <v>62</v>
      </c>
      <c r="AM613" s="2300"/>
      <c r="AN613" s="2443">
        <v>1</v>
      </c>
      <c r="AO613" s="2363"/>
      <c r="AP613" s="2364" t="s">
        <v>62</v>
      </c>
      <c r="AQ613" s="689" t="s">
        <v>253</v>
      </c>
      <c r="AR613" s="2443" t="s">
        <v>112</v>
      </c>
      <c r="AS613" s="2582" t="s">
        <v>541</v>
      </c>
      <c r="AT613" s="757"/>
      <c r="AU613" s="1263"/>
      <c r="AV613" s="757"/>
      <c r="AW613" s="1263">
        <v>11986.57</v>
      </c>
      <c r="AX613" s="2608">
        <v>46023.38638888889</v>
      </c>
      <c r="AY613" s="2113" t="s">
        <v>62</v>
      </c>
      <c r="AZ613" s="2608">
        <v>46387.39990740741</v>
      </c>
      <c r="BA613" s="2113" t="s">
        <v>62</v>
      </c>
      <c r="BB613" s="1354"/>
      <c r="BC613" s="2259" t="s">
        <v>514</v>
      </c>
      <c r="BD613" s="1648"/>
      <c r="BE613" s="1630"/>
      <c r="BF613" s="1630" t="str">
        <f>IF(T613="","",T613)</f>
        <v/>
      </c>
      <c r="BG613" s="1630"/>
      <c r="BH613" s="1630"/>
      <c r="BI613" s="1641">
        <v>0</v>
      </c>
    </row>
    <row customHeight="1" ht="14.25">
      <c r="A614" s="1369"/>
      <c r="B614" s="1369"/>
      <c r="C614" s="1369"/>
      <c r="D614" s="1369"/>
      <c r="E614" s="2265"/>
      <c r="F614" s="2265"/>
      <c r="G614" s="2265"/>
      <c r="H614" s="2265"/>
      <c r="I614" s="2292"/>
      <c r="J614" s="2292"/>
      <c r="K614" s="2262" t="str">
        <f>S610&amp;".1"</f>
        <v>.1</v>
      </c>
      <c r="L614" s="1375"/>
      <c r="M614" s="1782"/>
      <c r="N614" s="1782"/>
      <c r="O614" s="1782"/>
      <c r="P614" s="2380"/>
      <c r="Q614" s="2380"/>
      <c r="R614" s="2353">
        <v>1</v>
      </c>
      <c r="S614" s="2347" t="str">
        <f>$K614</f>
        <v>.1</v>
      </c>
      <c r="T614" s="2366"/>
      <c r="U614" s="306"/>
      <c r="V614" s="757"/>
      <c r="W614" s="1263"/>
      <c r="X614" s="757"/>
      <c r="Y614" s="1263"/>
      <c r="Z614" s="2608"/>
      <c r="AA614" s="2113" t="s">
        <v>62</v>
      </c>
      <c r="AB614" s="2608"/>
      <c r="AC614" s="2113" t="s">
        <v>62</v>
      </c>
      <c r="AD614" s="2191" t="s">
        <v>62</v>
      </c>
      <c r="AE614" s="2332"/>
      <c r="AF614" s="2443">
        <v>1</v>
      </c>
      <c r="AG614" s="2369"/>
      <c r="AH614" s="2113" t="s">
        <v>62</v>
      </c>
      <c r="AI614" s="2332"/>
      <c r="AJ614" s="2443">
        <v>1</v>
      </c>
      <c r="AK614" s="2333" t="s">
        <v>28</v>
      </c>
      <c r="AL614" s="2113" t="s">
        <v>62</v>
      </c>
      <c r="AM614" s="2300"/>
      <c r="AN614" s="2443">
        <v>1</v>
      </c>
      <c r="AO614" s="2363"/>
      <c r="AP614" s="2364" t="s">
        <v>62</v>
      </c>
      <c r="AQ614" s="689" t="s">
        <v>253</v>
      </c>
      <c r="AR614" s="2443" t="s">
        <v>91</v>
      </c>
      <c r="AS614" s="2582" t="s">
        <v>541</v>
      </c>
      <c r="AT614" s="757"/>
      <c r="AU614" s="1263"/>
      <c r="AV614" s="757"/>
      <c r="AW614" s="1263">
        <v>9788.34</v>
      </c>
      <c r="AX614" s="2608">
        <v>46023.38642361111</v>
      </c>
      <c r="AY614" s="2113" t="s">
        <v>62</v>
      </c>
      <c r="AZ614" s="2608">
        <v>46387.399976851855</v>
      </c>
      <c r="BA614" s="2113" t="s">
        <v>62</v>
      </c>
      <c r="BB614" s="1354"/>
      <c r="BC614" s="2259" t="s">
        <v>514</v>
      </c>
      <c r="BD614" s="1648"/>
      <c r="BE614" s="1630"/>
      <c r="BF614" s="1630" t="str">
        <f>IF(T614="","",T614)</f>
        <v/>
      </c>
      <c r="BG614" s="1630"/>
      <c r="BH614" s="1630"/>
      <c r="BI614" s="1641">
        <v>0</v>
      </c>
    </row>
    <row customHeight="1" ht="14.25">
      <c r="A615" s="1369"/>
      <c r="B615" s="1369"/>
      <c r="C615" s="1369"/>
      <c r="D615" s="1369"/>
      <c r="E615" s="2265"/>
      <c r="F615" s="2265"/>
      <c r="G615" s="2265"/>
      <c r="H615" s="2265"/>
      <c r="I615" s="2292"/>
      <c r="J615" s="2292"/>
      <c r="K615" s="2262" t="str">
        <f>S611&amp;".1"</f>
        <v>.1</v>
      </c>
      <c r="L615" s="1375"/>
      <c r="M615" s="1782"/>
      <c r="N615" s="1782"/>
      <c r="O615" s="1782"/>
      <c r="P615" s="2380"/>
      <c r="Q615" s="2380"/>
      <c r="R615" s="2353">
        <v>1</v>
      </c>
      <c r="S615" s="2347" t="str">
        <f>$K615</f>
        <v>.1</v>
      </c>
      <c r="T615" s="2366"/>
      <c r="U615" s="306"/>
      <c r="V615" s="757"/>
      <c r="W615" s="1263"/>
      <c r="X615" s="757"/>
      <c r="Y615" s="1263"/>
      <c r="Z615" s="2608"/>
      <c r="AA615" s="2113" t="s">
        <v>62</v>
      </c>
      <c r="AB615" s="2608"/>
      <c r="AC615" s="2113" t="s">
        <v>62</v>
      </c>
      <c r="AD615" s="2191" t="s">
        <v>62</v>
      </c>
      <c r="AE615" s="2332"/>
      <c r="AF615" s="2443">
        <v>1</v>
      </c>
      <c r="AG615" s="2369"/>
      <c r="AH615" s="2113" t="s">
        <v>62</v>
      </c>
      <c r="AI615" s="2332"/>
      <c r="AJ615" s="2443">
        <v>1</v>
      </c>
      <c r="AK615" s="2333" t="s">
        <v>28</v>
      </c>
      <c r="AL615" s="2113" t="s">
        <v>62</v>
      </c>
      <c r="AM615" s="2300"/>
      <c r="AN615" s="2443">
        <v>1</v>
      </c>
      <c r="AO615" s="2363"/>
      <c r="AP615" s="2364" t="s">
        <v>62</v>
      </c>
      <c r="AQ615" s="689" t="s">
        <v>253</v>
      </c>
      <c r="AR615" s="2443" t="s">
        <v>92</v>
      </c>
      <c r="AS615" s="2582" t="s">
        <v>541</v>
      </c>
      <c r="AT615" s="757"/>
      <c r="AU615" s="1263"/>
      <c r="AV615" s="757"/>
      <c r="AW615" s="1263">
        <v>12932.84</v>
      </c>
      <c r="AX615" s="2608">
        <v>46023.386458333334</v>
      </c>
      <c r="AY615" s="2113" t="s">
        <v>62</v>
      </c>
      <c r="AZ615" s="2608">
        <v>46387.40008101852</v>
      </c>
      <c r="BA615" s="2113" t="s">
        <v>62</v>
      </c>
      <c r="BB615" s="1354"/>
      <c r="BC615" s="2259" t="s">
        <v>514</v>
      </c>
      <c r="BD615" s="1648"/>
      <c r="BE615" s="1630"/>
      <c r="BF615" s="1630" t="str">
        <f>IF(T615="","",T615)</f>
        <v/>
      </c>
      <c r="BG615" s="1630"/>
      <c r="BH615" s="1630"/>
      <c r="BI615" s="1641">
        <v>0</v>
      </c>
    </row>
    <row customHeight="1" ht="14.25">
      <c r="A616" s="1369"/>
      <c r="B616" s="1369"/>
      <c r="C616" s="1369"/>
      <c r="D616" s="1369"/>
      <c r="E616" s="2265"/>
      <c r="F616" s="2265"/>
      <c r="G616" s="2265"/>
      <c r="H616" s="2265"/>
      <c r="I616" s="2292"/>
      <c r="J616" s="2292"/>
      <c r="K616" s="2262"/>
      <c r="L616" s="1375"/>
      <c r="M616" s="1782"/>
      <c r="N616" s="1782"/>
      <c r="O616" s="1782"/>
      <c r="P616" s="2380"/>
      <c r="Q616" s="2380"/>
      <c r="R616" s="2353"/>
      <c r="S616" s="2348"/>
      <c r="T616" s="2367"/>
      <c r="U616" s="306"/>
      <c r="V616" s="7380"/>
      <c r="W616" s="7381"/>
      <c r="X616" s="7380"/>
      <c r="Y616" s="7381"/>
      <c r="Z616" s="7380"/>
      <c r="AA616" s="7380"/>
      <c r="AB616" s="7380"/>
      <c r="AC616" s="7380"/>
      <c r="AD616" s="2192"/>
      <c r="AE616" s="2332"/>
      <c r="AF616" s="2443"/>
      <c r="AG616" s="2369"/>
      <c r="AH616" s="2113"/>
      <c r="AI616" s="2332"/>
      <c r="AJ616" s="2443" t="s">
        <v>112</v>
      </c>
      <c r="AK616" s="2333"/>
      <c r="AL616" s="2113"/>
      <c r="AM616" s="2301"/>
      <c r="AN616" s="2443"/>
      <c r="AO616" s="3340" t="s">
        <v>28</v>
      </c>
      <c r="AP616" s="2365"/>
      <c r="AQ616" s="7382"/>
      <c r="AR616" s="7383"/>
      <c r="AS616" s="7476" t="s">
        <v>515</v>
      </c>
      <c r="AT616" s="7380"/>
      <c r="AU616" s="7381"/>
      <c r="AV616" s="7380"/>
      <c r="AW616" s="7381"/>
      <c r="AX616" s="7380"/>
      <c r="AY616" s="7380"/>
      <c r="AZ616" s="7380"/>
      <c r="BA616" s="7380"/>
      <c r="BB616" s="7385"/>
      <c r="BC616" s="2260"/>
      <c r="BD616" s="1648"/>
      <c r="BE616" s="1630"/>
      <c r="BF616" s="1630"/>
      <c r="BG616" s="1630"/>
      <c r="BH616" s="1630"/>
      <c r="BI616" s="1641">
        <v>0</v>
      </c>
    </row>
    <row customHeight="1" ht="14.25">
      <c r="A617" s="1369"/>
      <c r="B617" s="1369"/>
      <c r="C617" s="1369"/>
      <c r="D617" s="1369"/>
      <c r="E617" s="2265"/>
      <c r="F617" s="2265"/>
      <c r="G617" s="2265"/>
      <c r="H617" s="2265"/>
      <c r="I617" s="2292"/>
      <c r="J617" s="2292"/>
      <c r="K617" s="2262"/>
      <c r="L617" s="1375"/>
      <c r="M617" s="1782"/>
      <c r="N617" s="1782"/>
      <c r="O617" s="1782"/>
      <c r="P617" s="2380"/>
      <c r="Q617" s="2380"/>
      <c r="R617" s="2353"/>
      <c r="S617" s="2348"/>
      <c r="T617" s="2367"/>
      <c r="U617" s="306"/>
      <c r="V617" s="7380"/>
      <c r="W617" s="7381"/>
      <c r="X617" s="7380"/>
      <c r="Y617" s="7381"/>
      <c r="Z617" s="7380"/>
      <c r="AA617" s="7380"/>
      <c r="AB617" s="7380"/>
      <c r="AC617" s="7380"/>
      <c r="AD617" s="2192"/>
      <c r="AE617" s="2332"/>
      <c r="AF617" s="2443"/>
      <c r="AG617" s="2369"/>
      <c r="AH617" s="2113"/>
      <c r="AI617" s="2332"/>
      <c r="AJ617" s="2443" t="s">
        <v>112</v>
      </c>
      <c r="AK617" s="2333"/>
      <c r="AL617" s="2113"/>
      <c r="AM617" s="7382"/>
      <c r="AN617" s="7386"/>
      <c r="AO617" s="7477" t="s">
        <v>516</v>
      </c>
      <c r="AP617" s="7383"/>
      <c r="AQ617" s="7383"/>
      <c r="AR617" s="7383"/>
      <c r="AS617" s="7380"/>
      <c r="AT617" s="7380"/>
      <c r="AU617" s="7381"/>
      <c r="AV617" s="7380"/>
      <c r="AW617" s="7381"/>
      <c r="AX617" s="7380"/>
      <c r="AY617" s="7380"/>
      <c r="AZ617" s="7380"/>
      <c r="BA617" s="7380"/>
      <c r="BB617" s="7385"/>
      <c r="BC617" s="2260"/>
      <c r="BD617" s="1648"/>
      <c r="BE617" s="1630"/>
      <c r="BF617" s="1630"/>
      <c r="BG617" s="1630"/>
      <c r="BH617" s="1630"/>
      <c r="BI617" s="1641">
        <v>0</v>
      </c>
    </row>
    <row customHeight="1" ht="14.25">
      <c r="A618" s="1369"/>
      <c r="B618" s="1369"/>
      <c r="C618" s="1369"/>
      <c r="D618" s="1369"/>
      <c r="E618" s="2265"/>
      <c r="F618" s="2265"/>
      <c r="G618" s="2265"/>
      <c r="H618" s="2265"/>
      <c r="I618" s="2292"/>
      <c r="J618" s="2292"/>
      <c r="K618" s="2262" t="str">
        <f>S611&amp;".1"</f>
        <v>.1</v>
      </c>
      <c r="L618" s="1375"/>
      <c r="M618" s="1782"/>
      <c r="N618" s="1782"/>
      <c r="O618" s="1782"/>
      <c r="P618" s="2380"/>
      <c r="Q618" s="2380"/>
      <c r="R618" s="2353">
        <v>1</v>
      </c>
      <c r="S618" s="2347" t="str">
        <f>$K618</f>
        <v>.1</v>
      </c>
      <c r="T618" s="2366"/>
      <c r="U618" s="306"/>
      <c r="V618" s="757"/>
      <c r="W618" s="1263"/>
      <c r="X618" s="757"/>
      <c r="Y618" s="1263"/>
      <c r="Z618" s="2608"/>
      <c r="AA618" s="2113" t="s">
        <v>62</v>
      </c>
      <c r="AB618" s="2608"/>
      <c r="AC618" s="2113" t="s">
        <v>62</v>
      </c>
      <c r="AD618" s="2191" t="s">
        <v>62</v>
      </c>
      <c r="AE618" s="2332"/>
      <c r="AF618" s="2443">
        <v>1</v>
      </c>
      <c r="AG618" s="2369"/>
      <c r="AH618" s="2113" t="s">
        <v>62</v>
      </c>
      <c r="AI618" s="689" t="s">
        <v>253</v>
      </c>
      <c r="AJ618" s="2443" t="s">
        <v>92</v>
      </c>
      <c r="AK618" s="2333" t="s">
        <v>536</v>
      </c>
      <c r="AL618" s="2113" t="s">
        <v>19</v>
      </c>
      <c r="AM618" s="2300"/>
      <c r="AN618" s="2443">
        <v>1</v>
      </c>
      <c r="AO618" s="3340" t="s">
        <v>28</v>
      </c>
      <c r="AP618" s="2364" t="s">
        <v>62</v>
      </c>
      <c r="AQ618" s="317"/>
      <c r="AR618" s="2443">
        <v>1</v>
      </c>
      <c r="AS618" s="2582" t="s">
        <v>541</v>
      </c>
      <c r="AT618" s="757"/>
      <c r="AU618" s="1263"/>
      <c r="AV618" s="757"/>
      <c r="AW618" s="1263">
        <v>11777.95</v>
      </c>
      <c r="AX618" s="2608">
        <v>46023.38649305556</v>
      </c>
      <c r="AY618" s="2113" t="s">
        <v>62</v>
      </c>
      <c r="AZ618" s="2608">
        <v>46387.40016203704</v>
      </c>
      <c r="BA618" s="2113" t="s">
        <v>62</v>
      </c>
      <c r="BB618" s="1354"/>
      <c r="BC618" s="2259" t="s">
        <v>514</v>
      </c>
      <c r="BD618" s="1648"/>
      <c r="BE618" s="1630"/>
      <c r="BF618" s="1630" t="str">
        <f>IF(T618="","",T618)</f>
        <v/>
      </c>
      <c r="BG618" s="1630"/>
      <c r="BH618" s="1630"/>
      <c r="BI618" s="1641">
        <v>0</v>
      </c>
    </row>
    <row customHeight="1" ht="14.25">
      <c r="A619" s="1369"/>
      <c r="B619" s="1369"/>
      <c r="C619" s="1369"/>
      <c r="D619" s="1369"/>
      <c r="E619" s="2265"/>
      <c r="F619" s="2265"/>
      <c r="G619" s="2265"/>
      <c r="H619" s="2265"/>
      <c r="I619" s="2292"/>
      <c r="J619" s="2292"/>
      <c r="K619" s="2262" t="str">
        <f>S615&amp;".1"</f>
        <v>.1.1</v>
      </c>
      <c r="L619" s="1375"/>
      <c r="M619" s="1782"/>
      <c r="N619" s="1782"/>
      <c r="O619" s="1782"/>
      <c r="P619" s="2380"/>
      <c r="Q619" s="2380"/>
      <c r="R619" s="2353">
        <v>1</v>
      </c>
      <c r="S619" s="2347" t="str">
        <f>$K619</f>
        <v>.1.1</v>
      </c>
      <c r="T619" s="2366"/>
      <c r="U619" s="306"/>
      <c r="V619" s="757"/>
      <c r="W619" s="1263"/>
      <c r="X619" s="757"/>
      <c r="Y619" s="1263"/>
      <c r="Z619" s="2608"/>
      <c r="AA619" s="2113" t="s">
        <v>62</v>
      </c>
      <c r="AB619" s="2608"/>
      <c r="AC619" s="2113" t="s">
        <v>62</v>
      </c>
      <c r="AD619" s="2191" t="s">
        <v>62</v>
      </c>
      <c r="AE619" s="2332"/>
      <c r="AF619" s="2443">
        <v>1</v>
      </c>
      <c r="AG619" s="2369"/>
      <c r="AH619" s="2113" t="s">
        <v>62</v>
      </c>
      <c r="AI619" s="2332"/>
      <c r="AJ619" s="2443">
        <v>1</v>
      </c>
      <c r="AK619" s="2333" t="s">
        <v>28</v>
      </c>
      <c r="AL619" s="2113" t="s">
        <v>62</v>
      </c>
      <c r="AM619" s="2300"/>
      <c r="AN619" s="2443">
        <v>1</v>
      </c>
      <c r="AO619" s="2363"/>
      <c r="AP619" s="2364" t="s">
        <v>62</v>
      </c>
      <c r="AQ619" s="689" t="s">
        <v>253</v>
      </c>
      <c r="AR619" s="2443" t="s">
        <v>112</v>
      </c>
      <c r="AS619" s="2582" t="s">
        <v>541</v>
      </c>
      <c r="AT619" s="757"/>
      <c r="AU619" s="1263"/>
      <c r="AV619" s="757"/>
      <c r="AW619" s="1263">
        <v>14964.09</v>
      </c>
      <c r="AX619" s="2608">
        <v>46023.38652777778</v>
      </c>
      <c r="AY619" s="2113" t="s">
        <v>62</v>
      </c>
      <c r="AZ619" s="2608">
        <v>46387.40025462963</v>
      </c>
      <c r="BA619" s="2113" t="s">
        <v>62</v>
      </c>
      <c r="BB619" s="1354"/>
      <c r="BC619" s="2259" t="s">
        <v>514</v>
      </c>
      <c r="BD619" s="1648"/>
      <c r="BE619" s="1630"/>
      <c r="BF619" s="1630" t="str">
        <f>IF(T619="","",T619)</f>
        <v/>
      </c>
      <c r="BG619" s="1630"/>
      <c r="BH619" s="1630"/>
      <c r="BI619" s="1641">
        <v>0</v>
      </c>
    </row>
    <row customHeight="1" ht="14.25">
      <c r="A620" s="1369"/>
      <c r="B620" s="1369"/>
      <c r="C620" s="1369"/>
      <c r="D620" s="1369"/>
      <c r="E620" s="2265"/>
      <c r="F620" s="2265"/>
      <c r="G620" s="2265"/>
      <c r="H620" s="2265"/>
      <c r="I620" s="2292"/>
      <c r="J620" s="2292"/>
      <c r="K620" s="2262"/>
      <c r="L620" s="1375"/>
      <c r="M620" s="1782"/>
      <c r="N620" s="1782"/>
      <c r="O620" s="1782"/>
      <c r="P620" s="2380"/>
      <c r="Q620" s="2380"/>
      <c r="R620" s="2353"/>
      <c r="S620" s="2348"/>
      <c r="T620" s="2367"/>
      <c r="U620" s="306"/>
      <c r="V620" s="7380"/>
      <c r="W620" s="7381"/>
      <c r="X620" s="7380"/>
      <c r="Y620" s="7381"/>
      <c r="Z620" s="7380"/>
      <c r="AA620" s="7380"/>
      <c r="AB620" s="7380"/>
      <c r="AC620" s="7380"/>
      <c r="AD620" s="2192"/>
      <c r="AE620" s="2332"/>
      <c r="AF620" s="2443"/>
      <c r="AG620" s="2369"/>
      <c r="AH620" s="2113"/>
      <c r="AI620" s="2332"/>
      <c r="AJ620" s="2443" t="s">
        <v>91</v>
      </c>
      <c r="AK620" s="2333"/>
      <c r="AL620" s="2113"/>
      <c r="AM620" s="2301"/>
      <c r="AN620" s="2443"/>
      <c r="AO620" s="3340" t="s">
        <v>28</v>
      </c>
      <c r="AP620" s="2365"/>
      <c r="AQ620" s="7382"/>
      <c r="AR620" s="7383"/>
      <c r="AS620" s="7478" t="s">
        <v>515</v>
      </c>
      <c r="AT620" s="7380"/>
      <c r="AU620" s="7381"/>
      <c r="AV620" s="7380"/>
      <c r="AW620" s="7381"/>
      <c r="AX620" s="7380"/>
      <c r="AY620" s="7380"/>
      <c r="AZ620" s="7380"/>
      <c r="BA620" s="7380"/>
      <c r="BB620" s="7385"/>
      <c r="BC620" s="2260"/>
      <c r="BD620" s="1648"/>
      <c r="BE620" s="1630"/>
      <c r="BF620" s="1630"/>
      <c r="BG620" s="1630"/>
      <c r="BH620" s="1630"/>
      <c r="BI620" s="1641">
        <v>0</v>
      </c>
    </row>
    <row customHeight="1" ht="14.25">
      <c r="A621" s="1369"/>
      <c r="B621" s="1369"/>
      <c r="C621" s="1369"/>
      <c r="D621" s="1369"/>
      <c r="E621" s="2265"/>
      <c r="F621" s="2265"/>
      <c r="G621" s="2265"/>
      <c r="H621" s="2265"/>
      <c r="I621" s="2292"/>
      <c r="J621" s="2292"/>
      <c r="K621" s="2262"/>
      <c r="L621" s="1375"/>
      <c r="M621" s="1782"/>
      <c r="N621" s="1782"/>
      <c r="O621" s="1782"/>
      <c r="P621" s="2380"/>
      <c r="Q621" s="2380"/>
      <c r="R621" s="2353"/>
      <c r="S621" s="2348"/>
      <c r="T621" s="2367"/>
      <c r="U621" s="306"/>
      <c r="V621" s="7380"/>
      <c r="W621" s="7381"/>
      <c r="X621" s="7380"/>
      <c r="Y621" s="7381"/>
      <c r="Z621" s="7380"/>
      <c r="AA621" s="7380"/>
      <c r="AB621" s="7380"/>
      <c r="AC621" s="7380"/>
      <c r="AD621" s="2192"/>
      <c r="AE621" s="2332"/>
      <c r="AF621" s="2443"/>
      <c r="AG621" s="2369"/>
      <c r="AH621" s="2113"/>
      <c r="AI621" s="2332"/>
      <c r="AJ621" s="2443" t="s">
        <v>91</v>
      </c>
      <c r="AK621" s="2333"/>
      <c r="AL621" s="2113"/>
      <c r="AM621" s="7382"/>
      <c r="AN621" s="7386"/>
      <c r="AO621" s="7479" t="s">
        <v>516</v>
      </c>
      <c r="AP621" s="7383"/>
      <c r="AQ621" s="7383"/>
      <c r="AR621" s="7383"/>
      <c r="AS621" s="7380"/>
      <c r="AT621" s="7380"/>
      <c r="AU621" s="7381"/>
      <c r="AV621" s="7380"/>
      <c r="AW621" s="7381"/>
      <c r="AX621" s="7380"/>
      <c r="AY621" s="7380"/>
      <c r="AZ621" s="7380"/>
      <c r="BA621" s="7380"/>
      <c r="BB621" s="7385"/>
      <c r="BC621" s="2260"/>
      <c r="BD621" s="1648"/>
      <c r="BE621" s="1630"/>
      <c r="BF621" s="1630"/>
      <c r="BG621" s="1630"/>
      <c r="BH621" s="1630"/>
      <c r="BI621" s="1641">
        <v>0</v>
      </c>
    </row>
    <row customHeight="1" ht="14.25">
      <c r="A622" s="1369"/>
      <c r="B622" s="1369"/>
      <c r="C622" s="1369"/>
      <c r="D622" s="1369"/>
      <c r="E622" s="2265"/>
      <c r="F622" s="2265"/>
      <c r="G622" s="2265"/>
      <c r="H622" s="2265"/>
      <c r="I622" s="2292"/>
      <c r="J622" s="2292"/>
      <c r="K622" s="2262" t="str">
        <f>S617&amp;".1"</f>
        <v>.1</v>
      </c>
      <c r="L622" s="1375"/>
      <c r="M622" s="1782"/>
      <c r="N622" s="1782"/>
      <c r="O622" s="1782"/>
      <c r="P622" s="2380"/>
      <c r="Q622" s="2380"/>
      <c r="R622" s="2353">
        <v>1</v>
      </c>
      <c r="S622" s="2347" t="str">
        <f>$K622</f>
        <v>.1</v>
      </c>
      <c r="T622" s="2366"/>
      <c r="U622" s="306"/>
      <c r="V622" s="757"/>
      <c r="W622" s="1263"/>
      <c r="X622" s="757"/>
      <c r="Y622" s="1263"/>
      <c r="Z622" s="2608"/>
      <c r="AA622" s="2113" t="s">
        <v>62</v>
      </c>
      <c r="AB622" s="2608"/>
      <c r="AC622" s="2113" t="s">
        <v>62</v>
      </c>
      <c r="AD622" s="2191" t="s">
        <v>62</v>
      </c>
      <c r="AE622" s="2332"/>
      <c r="AF622" s="2443">
        <v>1</v>
      </c>
      <c r="AG622" s="2369"/>
      <c r="AH622" s="2113" t="s">
        <v>62</v>
      </c>
      <c r="AI622" s="689" t="s">
        <v>253</v>
      </c>
      <c r="AJ622" s="2443" t="s">
        <v>113</v>
      </c>
      <c r="AK622" s="2333" t="s">
        <v>537</v>
      </c>
      <c r="AL622" s="2113" t="s">
        <v>19</v>
      </c>
      <c r="AM622" s="2300"/>
      <c r="AN622" s="2443">
        <v>1</v>
      </c>
      <c r="AO622" s="3340" t="s">
        <v>28</v>
      </c>
      <c r="AP622" s="2364" t="s">
        <v>62</v>
      </c>
      <c r="AQ622" s="317"/>
      <c r="AR622" s="2443">
        <v>1</v>
      </c>
      <c r="AS622" s="2582" t="s">
        <v>541</v>
      </c>
      <c r="AT622" s="757"/>
      <c r="AU622" s="1263"/>
      <c r="AV622" s="757"/>
      <c r="AW622" s="1263">
        <v>14544.99</v>
      </c>
      <c r="AX622" s="2608">
        <v>46023.38655092593</v>
      </c>
      <c r="AY622" s="2113" t="s">
        <v>62</v>
      </c>
      <c r="AZ622" s="2608">
        <v>46387.40032407407</v>
      </c>
      <c r="BA622" s="2113" t="s">
        <v>62</v>
      </c>
      <c r="BB622" s="1354"/>
      <c r="BC622" s="2259" t="s">
        <v>514</v>
      </c>
      <c r="BD622" s="1648"/>
      <c r="BE622" s="1630"/>
      <c r="BF622" s="1630" t="str">
        <f>IF(T622="","",T622)</f>
        <v/>
      </c>
      <c r="BG622" s="1630"/>
      <c r="BH622" s="1630"/>
      <c r="BI622" s="1641">
        <v>0</v>
      </c>
    </row>
    <row customHeight="1" ht="14.25">
      <c r="A623" s="1369"/>
      <c r="B623" s="1369"/>
      <c r="C623" s="1369"/>
      <c r="D623" s="1369"/>
      <c r="E623" s="2265"/>
      <c r="F623" s="2265"/>
      <c r="G623" s="2265"/>
      <c r="H623" s="2265"/>
      <c r="I623" s="2292"/>
      <c r="J623" s="2292"/>
      <c r="K623" s="2262" t="str">
        <f>S619&amp;".1"</f>
        <v>.1.1.1</v>
      </c>
      <c r="L623" s="1375"/>
      <c r="M623" s="1782"/>
      <c r="N623" s="1782"/>
      <c r="O623" s="1782"/>
      <c r="P623" s="2380"/>
      <c r="Q623" s="2380"/>
      <c r="R623" s="2353">
        <v>1</v>
      </c>
      <c r="S623" s="2347" t="str">
        <f>$K623</f>
        <v>.1.1.1</v>
      </c>
      <c r="T623" s="2366"/>
      <c r="U623" s="306"/>
      <c r="V623" s="757"/>
      <c r="W623" s="1263"/>
      <c r="X623" s="757"/>
      <c r="Y623" s="1263"/>
      <c r="Z623" s="2608"/>
      <c r="AA623" s="2113" t="s">
        <v>62</v>
      </c>
      <c r="AB623" s="2608"/>
      <c r="AC623" s="2113" t="s">
        <v>62</v>
      </c>
      <c r="AD623" s="2191" t="s">
        <v>62</v>
      </c>
      <c r="AE623" s="2332"/>
      <c r="AF623" s="2443">
        <v>1</v>
      </c>
      <c r="AG623" s="2369"/>
      <c r="AH623" s="2113" t="s">
        <v>62</v>
      </c>
      <c r="AI623" s="2332"/>
      <c r="AJ623" s="2443">
        <v>1</v>
      </c>
      <c r="AK623" s="2333" t="s">
        <v>28</v>
      </c>
      <c r="AL623" s="2113" t="s">
        <v>62</v>
      </c>
      <c r="AM623" s="2300"/>
      <c r="AN623" s="2443">
        <v>1</v>
      </c>
      <c r="AO623" s="2363"/>
      <c r="AP623" s="2364" t="s">
        <v>62</v>
      </c>
      <c r="AQ623" s="689" t="s">
        <v>253</v>
      </c>
      <c r="AR623" s="2443" t="s">
        <v>112</v>
      </c>
      <c r="AS623" s="2582" t="s">
        <v>541</v>
      </c>
      <c r="AT623" s="757"/>
      <c r="AU623" s="1263"/>
      <c r="AV623" s="757"/>
      <c r="AW623" s="1263">
        <v>17979.84</v>
      </c>
      <c r="AX623" s="2608">
        <v>46023.38658564815</v>
      </c>
      <c r="AY623" s="2113" t="s">
        <v>62</v>
      </c>
      <c r="AZ623" s="2608">
        <v>46387.400405092594</v>
      </c>
      <c r="BA623" s="2113" t="s">
        <v>62</v>
      </c>
      <c r="BB623" s="1354"/>
      <c r="BC623" s="2259" t="s">
        <v>514</v>
      </c>
      <c r="BD623" s="1648"/>
      <c r="BE623" s="1630"/>
      <c r="BF623" s="1630" t="str">
        <f>IF(T623="","",T623)</f>
        <v/>
      </c>
      <c r="BG623" s="1630"/>
      <c r="BH623" s="1630"/>
      <c r="BI623" s="1641">
        <v>0</v>
      </c>
    </row>
    <row customHeight="1" ht="14.25">
      <c r="A624" s="1369"/>
      <c r="B624" s="1369"/>
      <c r="C624" s="1369"/>
      <c r="D624" s="1369"/>
      <c r="E624" s="2265"/>
      <c r="F624" s="2265"/>
      <c r="G624" s="2265"/>
      <c r="H624" s="2265"/>
      <c r="I624" s="2292"/>
      <c r="J624" s="2292"/>
      <c r="K624" s="2262"/>
      <c r="L624" s="1375"/>
      <c r="M624" s="1782"/>
      <c r="N624" s="1782"/>
      <c r="O624" s="1782"/>
      <c r="P624" s="2380"/>
      <c r="Q624" s="2380"/>
      <c r="R624" s="2353"/>
      <c r="S624" s="2348"/>
      <c r="T624" s="2367"/>
      <c r="U624" s="306"/>
      <c r="V624" s="7380"/>
      <c r="W624" s="7381"/>
      <c r="X624" s="7380"/>
      <c r="Y624" s="7381"/>
      <c r="Z624" s="7380"/>
      <c r="AA624" s="7380"/>
      <c r="AB624" s="7380"/>
      <c r="AC624" s="7380"/>
      <c r="AD624" s="2192"/>
      <c r="AE624" s="2332"/>
      <c r="AF624" s="2443"/>
      <c r="AG624" s="2369"/>
      <c r="AH624" s="2113"/>
      <c r="AI624" s="2332"/>
      <c r="AJ624" s="2443" t="s">
        <v>92</v>
      </c>
      <c r="AK624" s="2333"/>
      <c r="AL624" s="2113"/>
      <c r="AM624" s="2301"/>
      <c r="AN624" s="2443"/>
      <c r="AO624" s="3340" t="s">
        <v>28</v>
      </c>
      <c r="AP624" s="2365"/>
      <c r="AQ624" s="7382"/>
      <c r="AR624" s="7383"/>
      <c r="AS624" s="7480" t="s">
        <v>515</v>
      </c>
      <c r="AT624" s="7380"/>
      <c r="AU624" s="7381"/>
      <c r="AV624" s="7380"/>
      <c r="AW624" s="7381"/>
      <c r="AX624" s="7380"/>
      <c r="AY624" s="7380"/>
      <c r="AZ624" s="7380"/>
      <c r="BA624" s="7380"/>
      <c r="BB624" s="7385"/>
      <c r="BC624" s="2260"/>
      <c r="BD624" s="1648"/>
      <c r="BE624" s="1630"/>
      <c r="BF624" s="1630"/>
      <c r="BG624" s="1630"/>
      <c r="BH624" s="1630"/>
      <c r="BI624" s="1641">
        <v>0</v>
      </c>
    </row>
    <row customHeight="1" ht="14.25">
      <c r="A625" s="1369"/>
      <c r="B625" s="1369"/>
      <c r="C625" s="1369"/>
      <c r="D625" s="1369"/>
      <c r="E625" s="2265"/>
      <c r="F625" s="2265"/>
      <c r="G625" s="2265"/>
      <c r="H625" s="2265"/>
      <c r="I625" s="2292"/>
      <c r="J625" s="2292"/>
      <c r="K625" s="2262"/>
      <c r="L625" s="1375"/>
      <c r="M625" s="1782"/>
      <c r="N625" s="1782"/>
      <c r="O625" s="1782"/>
      <c r="P625" s="2380"/>
      <c r="Q625" s="2380"/>
      <c r="R625" s="2353"/>
      <c r="S625" s="2348"/>
      <c r="T625" s="2367"/>
      <c r="U625" s="306"/>
      <c r="V625" s="7380"/>
      <c r="W625" s="7381"/>
      <c r="X625" s="7380"/>
      <c r="Y625" s="7381"/>
      <c r="Z625" s="7380"/>
      <c r="AA625" s="7380"/>
      <c r="AB625" s="7380"/>
      <c r="AC625" s="7380"/>
      <c r="AD625" s="2192"/>
      <c r="AE625" s="2332"/>
      <c r="AF625" s="2443"/>
      <c r="AG625" s="2369"/>
      <c r="AH625" s="2113"/>
      <c r="AI625" s="2332"/>
      <c r="AJ625" s="2443" t="s">
        <v>92</v>
      </c>
      <c r="AK625" s="2333"/>
      <c r="AL625" s="2113"/>
      <c r="AM625" s="7382"/>
      <c r="AN625" s="7386"/>
      <c r="AO625" s="7481" t="s">
        <v>516</v>
      </c>
      <c r="AP625" s="7383"/>
      <c r="AQ625" s="7383"/>
      <c r="AR625" s="7383"/>
      <c r="AS625" s="7380"/>
      <c r="AT625" s="7380"/>
      <c r="AU625" s="7381"/>
      <c r="AV625" s="7380"/>
      <c r="AW625" s="7381"/>
      <c r="AX625" s="7380"/>
      <c r="AY625" s="7380"/>
      <c r="AZ625" s="7380"/>
      <c r="BA625" s="7380"/>
      <c r="BB625" s="7385"/>
      <c r="BC625" s="2260"/>
      <c r="BD625" s="1648"/>
      <c r="BE625" s="1630"/>
      <c r="BF625" s="1630"/>
      <c r="BG625" s="1630"/>
      <c r="BH625" s="1630"/>
      <c r="BI625" s="1641">
        <v>0</v>
      </c>
    </row>
    <row customHeight="1" ht="14.25">
      <c r="A626" s="1369"/>
      <c r="B626" s="1369"/>
      <c r="C626" s="1369"/>
      <c r="D626" s="1369"/>
      <c r="E626" s="2265"/>
      <c r="F626" s="2265"/>
      <c r="G626" s="2265"/>
      <c r="H626" s="2265"/>
      <c r="I626" s="2292"/>
      <c r="J626" s="2292"/>
      <c r="K626" s="2262" t="str">
        <f>S450&amp;".5"</f>
        <v>3.1.1.5</v>
      </c>
      <c r="L626" s="1375"/>
      <c r="M626" s="1782"/>
      <c r="N626" s="1782"/>
      <c r="O626" s="1782"/>
      <c r="P626" s="2380"/>
      <c r="Q626" s="2380"/>
      <c r="R626" s="2353"/>
      <c r="S626" s="2348"/>
      <c r="T626" s="2367"/>
      <c r="U626" s="306"/>
      <c r="V626" s="7380"/>
      <c r="W626" s="7381"/>
      <c r="X626" s="7380"/>
      <c r="Y626" s="7381"/>
      <c r="Z626" s="7380"/>
      <c r="AA626" s="7380"/>
      <c r="AB626" s="7380"/>
      <c r="AC626" s="7380"/>
      <c r="AD626" s="2192"/>
      <c r="AE626" s="2332"/>
      <c r="AF626" s="2443"/>
      <c r="AG626" s="3339" t="s">
        <v>28</v>
      </c>
      <c r="AH626" s="2113"/>
      <c r="AI626" s="7408"/>
      <c r="AJ626" s="7409"/>
      <c r="AK626" s="7482" t="s">
        <v>517</v>
      </c>
      <c r="AL626" s="7380"/>
      <c r="AM626" s="7380"/>
      <c r="AN626" s="7380"/>
      <c r="AO626" s="7380"/>
      <c r="AP626" s="7380"/>
      <c r="AQ626" s="7380"/>
      <c r="AR626" s="7380"/>
      <c r="AS626" s="7380"/>
      <c r="AT626" s="7380"/>
      <c r="AU626" s="7381"/>
      <c r="AV626" s="7380"/>
      <c r="AW626" s="7381"/>
      <c r="AX626" s="7380"/>
      <c r="AY626" s="7380"/>
      <c r="AZ626" s="7380"/>
      <c r="BA626" s="7380"/>
      <c r="BB626" s="7385"/>
      <c r="BC626" s="2260"/>
      <c r="BD626" s="1648"/>
      <c r="BE626" s="1630"/>
      <c r="BF626" s="1630"/>
      <c r="BG626" s="1630"/>
      <c r="BH626" s="1630"/>
      <c r="BI626" s="1641">
        <v>0</v>
      </c>
    </row>
    <row customHeight="1" ht="14.25">
      <c r="A627" s="1369"/>
      <c r="B627" s="1369"/>
      <c r="C627" s="1369"/>
      <c r="D627" s="1369"/>
      <c r="E627" s="2265"/>
      <c r="F627" s="2265"/>
      <c r="G627" s="2265"/>
      <c r="H627" s="2265"/>
      <c r="I627" s="2292"/>
      <c r="J627" s="2292"/>
      <c r="K627" s="2262" t="str">
        <f>S450&amp;".5"</f>
        <v>3.1.1.5</v>
      </c>
      <c r="L627" s="1375"/>
      <c r="M627" s="1782"/>
      <c r="N627" s="1782"/>
      <c r="O627" s="1782"/>
      <c r="P627" s="2380"/>
      <c r="Q627" s="2380"/>
      <c r="R627" s="2353"/>
      <c r="S627" s="2349"/>
      <c r="T627" s="2368"/>
      <c r="U627" s="306"/>
      <c r="V627" s="7380"/>
      <c r="W627" s="7483" t="str">
        <f>Z602&amp;"-"&amp;AB602</f>
        <v>-</v>
      </c>
      <c r="X627" s="7380"/>
      <c r="Y627" s="7484" t="str">
        <f>AB602&amp;"-"&amp;AD602</f>
        <v>-нет</v>
      </c>
      <c r="Z627" s="7380"/>
      <c r="AA627" s="7380"/>
      <c r="AB627" s="7380"/>
      <c r="AC627" s="7380"/>
      <c r="AD627" s="2118"/>
      <c r="AE627" s="7413"/>
      <c r="AF627" s="7414"/>
      <c r="AG627" s="7485" t="s">
        <v>518</v>
      </c>
      <c r="AH627" s="7380"/>
      <c r="AI627" s="7380"/>
      <c r="AJ627" s="7380"/>
      <c r="AK627" s="7380"/>
      <c r="AL627" s="7380"/>
      <c r="AM627" s="7380"/>
      <c r="AN627" s="7380"/>
      <c r="AO627" s="7380"/>
      <c r="AP627" s="7380"/>
      <c r="AQ627" s="7380"/>
      <c r="AR627" s="7380"/>
      <c r="AS627" s="7380"/>
      <c r="AT627" s="7380"/>
      <c r="AU627" s="7486" t="str">
        <f>AX602&amp;"-"&amp;AZ602</f>
        <v>46023.38605324074-46387.39885416667</v>
      </c>
      <c r="AV627" s="7380"/>
      <c r="AW627" s="7487" t="str">
        <f>AZ602&amp;"-"&amp;BB602</f>
        <v>46387.39885416667-</v>
      </c>
      <c r="AX627" s="7380"/>
      <c r="AY627" s="7380"/>
      <c r="AZ627" s="7380"/>
      <c r="BA627" s="7380"/>
      <c r="BB627" s="7488" t="str">
        <f>BE602&amp;"-"&amp;BG602</f>
        <v>-</v>
      </c>
      <c r="BC627" s="2260"/>
      <c r="BD627" s="1648"/>
      <c r="BE627" s="1630"/>
      <c r="BF627" s="1630" t="str">
        <f>IF(T627="","",T627)</f>
        <v/>
      </c>
      <c r="BG627" s="1630"/>
      <c r="BH627" s="1630"/>
      <c r="BI627" s="1641">
        <v>0</v>
      </c>
    </row>
    <row customHeight="1" ht="14.25">
      <c r="A628" s="1369"/>
      <c r="B628" s="1369"/>
      <c r="C628" s="1369"/>
      <c r="D628" s="1369"/>
      <c r="E628" s="2265"/>
      <c r="F628" s="2265"/>
      <c r="G628" s="2265"/>
      <c r="H628" s="2265"/>
      <c r="I628" s="2292"/>
      <c r="J628" s="2292"/>
      <c r="K628" s="2262" t="str">
        <f>S450&amp;".7"</f>
        <v>3.1.1.7</v>
      </c>
      <c r="L628" s="1375"/>
      <c r="M628" s="1782"/>
      <c r="N628" s="1782"/>
      <c r="O628" s="1782"/>
      <c r="P628" s="2380"/>
      <c r="Q628" s="2380"/>
      <c r="R628" s="689" t="s">
        <v>253</v>
      </c>
      <c r="S628" s="2347" t="str">
        <f>$K628</f>
        <v>3.1.1.7</v>
      </c>
      <c r="T628" s="2366" t="s">
        <v>544</v>
      </c>
      <c r="U628" s="306"/>
      <c r="V628" s="757"/>
      <c r="W628" s="1263"/>
      <c r="X628" s="757"/>
      <c r="Y628" s="1263"/>
      <c r="Z628" s="2608"/>
      <c r="AA628" s="2113" t="s">
        <v>62</v>
      </c>
      <c r="AB628" s="2608"/>
      <c r="AC628" s="2113" t="s">
        <v>62</v>
      </c>
      <c r="AD628" s="2191" t="s">
        <v>19</v>
      </c>
      <c r="AE628" s="2332"/>
      <c r="AF628" s="2443">
        <v>1</v>
      </c>
      <c r="AG628" s="3339" t="s">
        <v>28</v>
      </c>
      <c r="AH628" s="2113" t="s">
        <v>62</v>
      </c>
      <c r="AI628" s="2332"/>
      <c r="AJ628" s="2443">
        <v>1</v>
      </c>
      <c r="AK628" s="2333" t="s">
        <v>533</v>
      </c>
      <c r="AL628" s="2113" t="s">
        <v>19</v>
      </c>
      <c r="AM628" s="2300"/>
      <c r="AN628" s="2443">
        <v>1</v>
      </c>
      <c r="AO628" s="3340" t="s">
        <v>28</v>
      </c>
      <c r="AP628" s="2364" t="s">
        <v>62</v>
      </c>
      <c r="AQ628" s="317"/>
      <c r="AR628" s="2443">
        <v>1</v>
      </c>
      <c r="AS628" s="2582" t="s">
        <v>541</v>
      </c>
      <c r="AT628" s="757"/>
      <c r="AU628" s="1263"/>
      <c r="AV628" s="757"/>
      <c r="AW628" s="1263">
        <v>3016.63</v>
      </c>
      <c r="AX628" s="2608">
        <v>46023.38662037037</v>
      </c>
      <c r="AY628" s="2113" t="s">
        <v>62</v>
      </c>
      <c r="AZ628" s="2608">
        <v>46387.40049768519</v>
      </c>
      <c r="BA628" s="2113" t="s">
        <v>62</v>
      </c>
      <c r="BB628" s="1354"/>
      <c r="BC628" s="2259" t="s">
        <v>514</v>
      </c>
      <c r="BD628" s="1648"/>
      <c r="BE628" s="1630"/>
      <c r="BF628" s="1630" t="str">
        <f>IF(T628="","",T628)</f>
        <v>Наружные инженерные водоводы, разработка грунта в отвал, трубы полиэтиленовые диаметром:</v>
      </c>
      <c r="BG628" s="1630"/>
      <c r="BH628" s="1630"/>
      <c r="BI628" s="1641">
        <v>0</v>
      </c>
    </row>
    <row customHeight="1" ht="14.25">
      <c r="A629" s="1369"/>
      <c r="B629" s="1369"/>
      <c r="C629" s="1369"/>
      <c r="D629" s="1369"/>
      <c r="E629" s="2265"/>
      <c r="F629" s="2265"/>
      <c r="G629" s="2265"/>
      <c r="H629" s="2265"/>
      <c r="I629" s="2292"/>
      <c r="J629" s="2292"/>
      <c r="K629" s="2262" t="str">
        <f>S625&amp;".1"</f>
        <v>.1</v>
      </c>
      <c r="L629" s="1375"/>
      <c r="M629" s="1782"/>
      <c r="N629" s="1782"/>
      <c r="O629" s="1782"/>
      <c r="P629" s="2380"/>
      <c r="Q629" s="2380"/>
      <c r="R629" s="2353">
        <v>1</v>
      </c>
      <c r="S629" s="2347" t="str">
        <f>$K629</f>
        <v>.1</v>
      </c>
      <c r="T629" s="2366"/>
      <c r="U629" s="306"/>
      <c r="V629" s="757"/>
      <c r="W629" s="1263"/>
      <c r="X629" s="757"/>
      <c r="Y629" s="1263"/>
      <c r="Z629" s="2608"/>
      <c r="AA629" s="2113" t="s">
        <v>62</v>
      </c>
      <c r="AB629" s="2608"/>
      <c r="AC629" s="2113" t="s">
        <v>62</v>
      </c>
      <c r="AD629" s="2191" t="s">
        <v>62</v>
      </c>
      <c r="AE629" s="2332"/>
      <c r="AF629" s="2443">
        <v>1</v>
      </c>
      <c r="AG629" s="2369"/>
      <c r="AH629" s="2113" t="s">
        <v>62</v>
      </c>
      <c r="AI629" s="2332"/>
      <c r="AJ629" s="2443">
        <v>1</v>
      </c>
      <c r="AK629" s="2333" t="s">
        <v>28</v>
      </c>
      <c r="AL629" s="2113" t="s">
        <v>62</v>
      </c>
      <c r="AM629" s="2300"/>
      <c r="AN629" s="2443">
        <v>1</v>
      </c>
      <c r="AO629" s="2363"/>
      <c r="AP629" s="2364" t="s">
        <v>62</v>
      </c>
      <c r="AQ629" s="689" t="s">
        <v>253</v>
      </c>
      <c r="AR629" s="2443" t="s">
        <v>112</v>
      </c>
      <c r="AS629" s="2582" t="s">
        <v>541</v>
      </c>
      <c r="AT629" s="757"/>
      <c r="AU629" s="1263"/>
      <c r="AV629" s="757"/>
      <c r="AW629" s="1263">
        <v>3697.53</v>
      </c>
      <c r="AX629" s="2608">
        <v>46023.38667824074</v>
      </c>
      <c r="AY629" s="2113" t="s">
        <v>62</v>
      </c>
      <c r="AZ629" s="2608">
        <v>46387.4005787037</v>
      </c>
      <c r="BA629" s="2113" t="s">
        <v>62</v>
      </c>
      <c r="BB629" s="1354"/>
      <c r="BC629" s="2259" t="s">
        <v>514</v>
      </c>
      <c r="BD629" s="1648"/>
      <c r="BE629" s="1630"/>
      <c r="BF629" s="1630" t="str">
        <f>IF(T629="","",T629)</f>
        <v/>
      </c>
      <c r="BG629" s="1630"/>
      <c r="BH629" s="1630"/>
      <c r="BI629" s="1641">
        <v>0</v>
      </c>
    </row>
    <row customHeight="1" ht="14.25">
      <c r="A630" s="1369"/>
      <c r="B630" s="1369"/>
      <c r="C630" s="1369"/>
      <c r="D630" s="1369"/>
      <c r="E630" s="2265"/>
      <c r="F630" s="2265"/>
      <c r="G630" s="2265"/>
      <c r="H630" s="2265"/>
      <c r="I630" s="2292"/>
      <c r="J630" s="2292"/>
      <c r="K630" s="2262" t="str">
        <f>S626&amp;".1"</f>
        <v>.1</v>
      </c>
      <c r="L630" s="1375"/>
      <c r="M630" s="1782"/>
      <c r="N630" s="1782"/>
      <c r="O630" s="1782"/>
      <c r="P630" s="2380"/>
      <c r="Q630" s="2380"/>
      <c r="R630" s="2353">
        <v>1</v>
      </c>
      <c r="S630" s="2347" t="str">
        <f>$K630</f>
        <v>.1</v>
      </c>
      <c r="T630" s="2366"/>
      <c r="U630" s="306"/>
      <c r="V630" s="757"/>
      <c r="W630" s="1263"/>
      <c r="X630" s="757"/>
      <c r="Y630" s="1263"/>
      <c r="Z630" s="2608"/>
      <c r="AA630" s="2113" t="s">
        <v>62</v>
      </c>
      <c r="AB630" s="2608"/>
      <c r="AC630" s="2113" t="s">
        <v>62</v>
      </c>
      <c r="AD630" s="2191" t="s">
        <v>62</v>
      </c>
      <c r="AE630" s="2332"/>
      <c r="AF630" s="2443">
        <v>1</v>
      </c>
      <c r="AG630" s="2369"/>
      <c r="AH630" s="2113" t="s">
        <v>62</v>
      </c>
      <c r="AI630" s="2332"/>
      <c r="AJ630" s="2443">
        <v>1</v>
      </c>
      <c r="AK630" s="2333" t="s">
        <v>28</v>
      </c>
      <c r="AL630" s="2113" t="s">
        <v>62</v>
      </c>
      <c r="AM630" s="2300"/>
      <c r="AN630" s="2443">
        <v>1</v>
      </c>
      <c r="AO630" s="2363"/>
      <c r="AP630" s="2364" t="s">
        <v>62</v>
      </c>
      <c r="AQ630" s="689" t="s">
        <v>253</v>
      </c>
      <c r="AR630" s="2443" t="s">
        <v>91</v>
      </c>
      <c r="AS630" s="2582" t="s">
        <v>541</v>
      </c>
      <c r="AT630" s="757"/>
      <c r="AU630" s="1263"/>
      <c r="AV630" s="757"/>
      <c r="AW630" s="1263">
        <v>3643.44</v>
      </c>
      <c r="AX630" s="2608">
        <v>46023.386712962965</v>
      </c>
      <c r="AY630" s="2113" t="s">
        <v>62</v>
      </c>
      <c r="AZ630" s="2608">
        <v>46387.40064814815</v>
      </c>
      <c r="BA630" s="2113" t="s">
        <v>62</v>
      </c>
      <c r="BB630" s="1354"/>
      <c r="BC630" s="2259" t="s">
        <v>514</v>
      </c>
      <c r="BD630" s="1648"/>
      <c r="BE630" s="1630"/>
      <c r="BF630" s="1630" t="str">
        <f>IF(T630="","",T630)</f>
        <v/>
      </c>
      <c r="BG630" s="1630"/>
      <c r="BH630" s="1630"/>
      <c r="BI630" s="1641">
        <v>0</v>
      </c>
    </row>
    <row customHeight="1" ht="14.25">
      <c r="A631" s="1369"/>
      <c r="B631" s="1369"/>
      <c r="C631" s="1369"/>
      <c r="D631" s="1369"/>
      <c r="E631" s="2265"/>
      <c r="F631" s="2265"/>
      <c r="G631" s="2265"/>
      <c r="H631" s="2265"/>
      <c r="I631" s="2292"/>
      <c r="J631" s="2292"/>
      <c r="K631" s="2262" t="str">
        <f>S627&amp;".1"</f>
        <v>.1</v>
      </c>
      <c r="L631" s="1375"/>
      <c r="M631" s="1782"/>
      <c r="N631" s="1782"/>
      <c r="O631" s="1782"/>
      <c r="P631" s="2380"/>
      <c r="Q631" s="2380"/>
      <c r="R631" s="2353">
        <v>1</v>
      </c>
      <c r="S631" s="2347" t="str">
        <f>$K631</f>
        <v>.1</v>
      </c>
      <c r="T631" s="2366"/>
      <c r="U631" s="306"/>
      <c r="V631" s="757"/>
      <c r="W631" s="1263"/>
      <c r="X631" s="757"/>
      <c r="Y631" s="1263"/>
      <c r="Z631" s="2608"/>
      <c r="AA631" s="2113" t="s">
        <v>62</v>
      </c>
      <c r="AB631" s="2608"/>
      <c r="AC631" s="2113" t="s">
        <v>62</v>
      </c>
      <c r="AD631" s="2191" t="s">
        <v>62</v>
      </c>
      <c r="AE631" s="2332"/>
      <c r="AF631" s="2443">
        <v>1</v>
      </c>
      <c r="AG631" s="2369"/>
      <c r="AH631" s="2113" t="s">
        <v>62</v>
      </c>
      <c r="AI631" s="2332"/>
      <c r="AJ631" s="2443">
        <v>1</v>
      </c>
      <c r="AK631" s="2333" t="s">
        <v>28</v>
      </c>
      <c r="AL631" s="2113" t="s">
        <v>62</v>
      </c>
      <c r="AM631" s="2300"/>
      <c r="AN631" s="2443">
        <v>1</v>
      </c>
      <c r="AO631" s="2363"/>
      <c r="AP631" s="2364" t="s">
        <v>62</v>
      </c>
      <c r="AQ631" s="689" t="s">
        <v>253</v>
      </c>
      <c r="AR631" s="2443" t="s">
        <v>92</v>
      </c>
      <c r="AS631" s="2582" t="s">
        <v>541</v>
      </c>
      <c r="AT631" s="757"/>
      <c r="AU631" s="1263"/>
      <c r="AV631" s="757"/>
      <c r="AW631" s="1263">
        <v>4609.87</v>
      </c>
      <c r="AX631" s="2608">
        <v>46023.38673611111</v>
      </c>
      <c r="AY631" s="2113" t="s">
        <v>62</v>
      </c>
      <c r="AZ631" s="2608">
        <v>46387.400717592594</v>
      </c>
      <c r="BA631" s="2113" t="s">
        <v>62</v>
      </c>
      <c r="BB631" s="1354"/>
      <c r="BC631" s="2259" t="s">
        <v>514</v>
      </c>
      <c r="BD631" s="1648"/>
      <c r="BE631" s="1630"/>
      <c r="BF631" s="1630" t="str">
        <f>IF(T631="","",T631)</f>
        <v/>
      </c>
      <c r="BG631" s="1630"/>
      <c r="BH631" s="1630"/>
      <c r="BI631" s="1641">
        <v>0</v>
      </c>
    </row>
    <row customHeight="1" ht="14.25">
      <c r="A632" s="1369"/>
      <c r="B632" s="1369"/>
      <c r="C632" s="1369"/>
      <c r="D632" s="1369"/>
      <c r="E632" s="2265"/>
      <c r="F632" s="2265"/>
      <c r="G632" s="2265"/>
      <c r="H632" s="2265"/>
      <c r="I632" s="2292"/>
      <c r="J632" s="2292"/>
      <c r="K632" s="2262" t="str">
        <f>S450&amp;".6"</f>
        <v>3.1.1.6</v>
      </c>
      <c r="L632" s="1375"/>
      <c r="M632" s="1782"/>
      <c r="N632" s="1782"/>
      <c r="O632" s="1782"/>
      <c r="P632" s="2380"/>
      <c r="Q632" s="2380"/>
      <c r="R632" s="2353"/>
      <c r="S632" s="2348"/>
      <c r="T632" s="2367"/>
      <c r="U632" s="306"/>
      <c r="V632" s="7380"/>
      <c r="W632" s="7381"/>
      <c r="X632" s="7380"/>
      <c r="Y632" s="7381"/>
      <c r="Z632" s="7380"/>
      <c r="AA632" s="7380"/>
      <c r="AB632" s="7380"/>
      <c r="AC632" s="7380"/>
      <c r="AD632" s="2192"/>
      <c r="AE632" s="2332"/>
      <c r="AF632" s="2443"/>
      <c r="AG632" s="3339" t="s">
        <v>28</v>
      </c>
      <c r="AH632" s="2113"/>
      <c r="AI632" s="2332"/>
      <c r="AJ632" s="2443"/>
      <c r="AK632" s="2333"/>
      <c r="AL632" s="2113"/>
      <c r="AM632" s="2301"/>
      <c r="AN632" s="2443"/>
      <c r="AO632" s="3340" t="s">
        <v>28</v>
      </c>
      <c r="AP632" s="2365"/>
      <c r="AQ632" s="7382"/>
      <c r="AR632" s="7383"/>
      <c r="AS632" s="7489" t="s">
        <v>515</v>
      </c>
      <c r="AT632" s="7380"/>
      <c r="AU632" s="7381"/>
      <c r="AV632" s="7380"/>
      <c r="AW632" s="7381"/>
      <c r="AX632" s="7380"/>
      <c r="AY632" s="7380"/>
      <c r="AZ632" s="7380"/>
      <c r="BA632" s="7380"/>
      <c r="BB632" s="7385"/>
      <c r="BC632" s="2260"/>
      <c r="BD632" s="1648"/>
      <c r="BE632" s="1630"/>
      <c r="BF632" s="1630"/>
      <c r="BG632" s="1630"/>
      <c r="BH632" s="1630"/>
      <c r="BI632" s="1641">
        <v>0</v>
      </c>
    </row>
    <row customHeight="1" ht="14.25">
      <c r="A633" s="1369"/>
      <c r="B633" s="1369"/>
      <c r="C633" s="1369"/>
      <c r="D633" s="1369"/>
      <c r="E633" s="2265"/>
      <c r="F633" s="2265"/>
      <c r="G633" s="2265"/>
      <c r="H633" s="2265"/>
      <c r="I633" s="2292"/>
      <c r="J633" s="2292"/>
      <c r="K633" s="2262" t="str">
        <f>S450&amp;".6"</f>
        <v>3.1.1.6</v>
      </c>
      <c r="L633" s="1375"/>
      <c r="M633" s="1782"/>
      <c r="N633" s="1782"/>
      <c r="O633" s="1782"/>
      <c r="P633" s="2380"/>
      <c r="Q633" s="2380"/>
      <c r="R633" s="2353"/>
      <c r="S633" s="2348"/>
      <c r="T633" s="2367"/>
      <c r="U633" s="306"/>
      <c r="V633" s="7380"/>
      <c r="W633" s="7381"/>
      <c r="X633" s="7380"/>
      <c r="Y633" s="7381"/>
      <c r="Z633" s="7380"/>
      <c r="AA633" s="7380"/>
      <c r="AB633" s="7380"/>
      <c r="AC633" s="7380"/>
      <c r="AD633" s="2192"/>
      <c r="AE633" s="2332"/>
      <c r="AF633" s="2443"/>
      <c r="AG633" s="3339" t="s">
        <v>28</v>
      </c>
      <c r="AH633" s="2113"/>
      <c r="AI633" s="2332"/>
      <c r="AJ633" s="2443"/>
      <c r="AK633" s="2333"/>
      <c r="AL633" s="2113"/>
      <c r="AM633" s="7382"/>
      <c r="AN633" s="7386"/>
      <c r="AO633" s="7490" t="s">
        <v>516</v>
      </c>
      <c r="AP633" s="7383"/>
      <c r="AQ633" s="7383"/>
      <c r="AR633" s="7383"/>
      <c r="AS633" s="7380"/>
      <c r="AT633" s="7380"/>
      <c r="AU633" s="7381"/>
      <c r="AV633" s="7380"/>
      <c r="AW633" s="7381"/>
      <c r="AX633" s="7380"/>
      <c r="AY633" s="7380"/>
      <c r="AZ633" s="7380"/>
      <c r="BA633" s="7380"/>
      <c r="BB633" s="7385"/>
      <c r="BC633" s="2260"/>
      <c r="BD633" s="1648"/>
      <c r="BE633" s="1630"/>
      <c r="BF633" s="1630"/>
      <c r="BG633" s="1630"/>
      <c r="BH633" s="1630"/>
      <c r="BI633" s="1641">
        <v>0</v>
      </c>
    </row>
    <row customHeight="1" ht="14.25">
      <c r="A634" s="1369"/>
      <c r="B634" s="1369"/>
      <c r="C634" s="1369"/>
      <c r="D634" s="1369"/>
      <c r="E634" s="2265"/>
      <c r="F634" s="2265"/>
      <c r="G634" s="2265"/>
      <c r="H634" s="2265"/>
      <c r="I634" s="2292"/>
      <c r="J634" s="2292"/>
      <c r="K634" s="2262" t="str">
        <f>S627&amp;".1"</f>
        <v>.1</v>
      </c>
      <c r="L634" s="1375"/>
      <c r="M634" s="1782"/>
      <c r="N634" s="1782"/>
      <c r="O634" s="1782"/>
      <c r="P634" s="2380"/>
      <c r="Q634" s="2380"/>
      <c r="R634" s="2353">
        <v>1</v>
      </c>
      <c r="S634" s="2347" t="str">
        <f>$K634</f>
        <v>.1</v>
      </c>
      <c r="T634" s="2366"/>
      <c r="U634" s="306"/>
      <c r="V634" s="757"/>
      <c r="W634" s="1263"/>
      <c r="X634" s="757"/>
      <c r="Y634" s="1263"/>
      <c r="Z634" s="2608"/>
      <c r="AA634" s="2113" t="s">
        <v>62</v>
      </c>
      <c r="AB634" s="2608"/>
      <c r="AC634" s="2113" t="s">
        <v>62</v>
      </c>
      <c r="AD634" s="2191" t="s">
        <v>62</v>
      </c>
      <c r="AE634" s="2332"/>
      <c r="AF634" s="2443">
        <v>1</v>
      </c>
      <c r="AG634" s="2369"/>
      <c r="AH634" s="2113" t="s">
        <v>62</v>
      </c>
      <c r="AI634" s="689" t="s">
        <v>253</v>
      </c>
      <c r="AJ634" s="2443" t="s">
        <v>112</v>
      </c>
      <c r="AK634" s="2333" t="s">
        <v>534</v>
      </c>
      <c r="AL634" s="2113" t="s">
        <v>19</v>
      </c>
      <c r="AM634" s="2300"/>
      <c r="AN634" s="2443">
        <v>1</v>
      </c>
      <c r="AO634" s="3340" t="s">
        <v>28</v>
      </c>
      <c r="AP634" s="2364" t="s">
        <v>62</v>
      </c>
      <c r="AQ634" s="317"/>
      <c r="AR634" s="2443">
        <v>1</v>
      </c>
      <c r="AS634" s="2582" t="s">
        <v>541</v>
      </c>
      <c r="AT634" s="757"/>
      <c r="AU634" s="1263"/>
      <c r="AV634" s="757"/>
      <c r="AW634" s="1263">
        <v>6343.52</v>
      </c>
      <c r="AX634" s="2608">
        <v>46023.386770833335</v>
      </c>
      <c r="AY634" s="2113" t="s">
        <v>62</v>
      </c>
      <c r="AZ634" s="2608">
        <v>46387.40078703704</v>
      </c>
      <c r="BA634" s="2113" t="s">
        <v>62</v>
      </c>
      <c r="BB634" s="1354"/>
      <c r="BC634" s="2259" t="s">
        <v>514</v>
      </c>
      <c r="BD634" s="1648"/>
      <c r="BE634" s="1630"/>
      <c r="BF634" s="1630" t="str">
        <f>IF(T634="","",T634)</f>
        <v/>
      </c>
      <c r="BG634" s="1630"/>
      <c r="BH634" s="1630"/>
      <c r="BI634" s="1641">
        <v>0</v>
      </c>
    </row>
    <row customHeight="1" ht="14.25">
      <c r="A635" s="1369"/>
      <c r="B635" s="1369"/>
      <c r="C635" s="1369"/>
      <c r="D635" s="1369"/>
      <c r="E635" s="2265"/>
      <c r="F635" s="2265"/>
      <c r="G635" s="2265"/>
      <c r="H635" s="2265"/>
      <c r="I635" s="2292"/>
      <c r="J635" s="2292"/>
      <c r="K635" s="2262" t="str">
        <f>S631&amp;".1"</f>
        <v>.1.1</v>
      </c>
      <c r="L635" s="1375"/>
      <c r="M635" s="1782"/>
      <c r="N635" s="1782"/>
      <c r="O635" s="1782"/>
      <c r="P635" s="2380"/>
      <c r="Q635" s="2380"/>
      <c r="R635" s="2353">
        <v>1</v>
      </c>
      <c r="S635" s="2347" t="str">
        <f>$K635</f>
        <v>.1.1</v>
      </c>
      <c r="T635" s="2366"/>
      <c r="U635" s="306"/>
      <c r="V635" s="757"/>
      <c r="W635" s="1263"/>
      <c r="X635" s="757"/>
      <c r="Y635" s="1263"/>
      <c r="Z635" s="2608"/>
      <c r="AA635" s="2113" t="s">
        <v>62</v>
      </c>
      <c r="AB635" s="2608"/>
      <c r="AC635" s="2113" t="s">
        <v>62</v>
      </c>
      <c r="AD635" s="2191" t="s">
        <v>62</v>
      </c>
      <c r="AE635" s="2332"/>
      <c r="AF635" s="2443">
        <v>1</v>
      </c>
      <c r="AG635" s="2369"/>
      <c r="AH635" s="2113" t="s">
        <v>62</v>
      </c>
      <c r="AI635" s="2332"/>
      <c r="AJ635" s="2443">
        <v>1</v>
      </c>
      <c r="AK635" s="2333" t="s">
        <v>28</v>
      </c>
      <c r="AL635" s="2113" t="s">
        <v>62</v>
      </c>
      <c r="AM635" s="2300"/>
      <c r="AN635" s="2443">
        <v>1</v>
      </c>
      <c r="AO635" s="2363"/>
      <c r="AP635" s="2364" t="s">
        <v>62</v>
      </c>
      <c r="AQ635" s="689" t="s">
        <v>253</v>
      </c>
      <c r="AR635" s="2443" t="s">
        <v>112</v>
      </c>
      <c r="AS635" s="2582" t="s">
        <v>541</v>
      </c>
      <c r="AT635" s="757"/>
      <c r="AU635" s="1263"/>
      <c r="AV635" s="757"/>
      <c r="AW635" s="1263">
        <v>8540.01</v>
      </c>
      <c r="AX635" s="2608">
        <v>46023.38679398148</v>
      </c>
      <c r="AY635" s="2113" t="s">
        <v>62</v>
      </c>
      <c r="AZ635" s="2608">
        <v>46387.40087962963</v>
      </c>
      <c r="BA635" s="2113" t="s">
        <v>62</v>
      </c>
      <c r="BB635" s="1354"/>
      <c r="BC635" s="2259" t="s">
        <v>514</v>
      </c>
      <c r="BD635" s="1648"/>
      <c r="BE635" s="1630"/>
      <c r="BF635" s="1630" t="str">
        <f>IF(T635="","",T635)</f>
        <v/>
      </c>
      <c r="BG635" s="1630"/>
      <c r="BH635" s="1630"/>
      <c r="BI635" s="1641">
        <v>0</v>
      </c>
    </row>
    <row customHeight="1" ht="14.25">
      <c r="A636" s="1369"/>
      <c r="B636" s="1369"/>
      <c r="C636" s="1369"/>
      <c r="D636" s="1369"/>
      <c r="E636" s="2265"/>
      <c r="F636" s="2265"/>
      <c r="G636" s="2265"/>
      <c r="H636" s="2265"/>
      <c r="I636" s="2292"/>
      <c r="J636" s="2292"/>
      <c r="K636" s="2262"/>
      <c r="L636" s="1375"/>
      <c r="M636" s="1782"/>
      <c r="N636" s="1782"/>
      <c r="O636" s="1782"/>
      <c r="P636" s="2380"/>
      <c r="Q636" s="2380"/>
      <c r="R636" s="2353"/>
      <c r="S636" s="2348"/>
      <c r="T636" s="2367"/>
      <c r="U636" s="306"/>
      <c r="V636" s="7380"/>
      <c r="W636" s="7381"/>
      <c r="X636" s="7380"/>
      <c r="Y636" s="7381"/>
      <c r="Z636" s="7380"/>
      <c r="AA636" s="7380"/>
      <c r="AB636" s="7380"/>
      <c r="AC636" s="7380"/>
      <c r="AD636" s="2192"/>
      <c r="AE636" s="2332"/>
      <c r="AF636" s="2443"/>
      <c r="AG636" s="2369"/>
      <c r="AH636" s="2113"/>
      <c r="AI636" s="2332"/>
      <c r="AJ636" s="2443">
        <v>1</v>
      </c>
      <c r="AK636" s="2333"/>
      <c r="AL636" s="2113"/>
      <c r="AM636" s="2301"/>
      <c r="AN636" s="2443"/>
      <c r="AO636" s="3340" t="s">
        <v>28</v>
      </c>
      <c r="AP636" s="2365"/>
      <c r="AQ636" s="7382"/>
      <c r="AR636" s="7383"/>
      <c r="AS636" s="7491" t="s">
        <v>515</v>
      </c>
      <c r="AT636" s="7380"/>
      <c r="AU636" s="7381"/>
      <c r="AV636" s="7380"/>
      <c r="AW636" s="7381"/>
      <c r="AX636" s="7380"/>
      <c r="AY636" s="7380"/>
      <c r="AZ636" s="7380"/>
      <c r="BA636" s="7380"/>
      <c r="BB636" s="7385"/>
      <c r="BC636" s="2260"/>
      <c r="BD636" s="1648"/>
      <c r="BE636" s="1630"/>
      <c r="BF636" s="1630"/>
      <c r="BG636" s="1630"/>
      <c r="BH636" s="1630"/>
      <c r="BI636" s="1641">
        <v>0</v>
      </c>
    </row>
    <row customHeight="1" ht="14.25">
      <c r="A637" s="1369"/>
      <c r="B637" s="1369"/>
      <c r="C637" s="1369"/>
      <c r="D637" s="1369"/>
      <c r="E637" s="2265"/>
      <c r="F637" s="2265"/>
      <c r="G637" s="2265"/>
      <c r="H637" s="2265"/>
      <c r="I637" s="2292"/>
      <c r="J637" s="2292"/>
      <c r="K637" s="2262"/>
      <c r="L637" s="1375"/>
      <c r="M637" s="1782"/>
      <c r="N637" s="1782"/>
      <c r="O637" s="1782"/>
      <c r="P637" s="2380"/>
      <c r="Q637" s="2380"/>
      <c r="R637" s="2353"/>
      <c r="S637" s="2348"/>
      <c r="T637" s="2367"/>
      <c r="U637" s="306"/>
      <c r="V637" s="7380"/>
      <c r="W637" s="7381"/>
      <c r="X637" s="7380"/>
      <c r="Y637" s="7381"/>
      <c r="Z637" s="7380"/>
      <c r="AA637" s="7380"/>
      <c r="AB637" s="7380"/>
      <c r="AC637" s="7380"/>
      <c r="AD637" s="2192"/>
      <c r="AE637" s="2332"/>
      <c r="AF637" s="2443"/>
      <c r="AG637" s="2369"/>
      <c r="AH637" s="2113"/>
      <c r="AI637" s="2332"/>
      <c r="AJ637" s="2443">
        <v>1</v>
      </c>
      <c r="AK637" s="2333"/>
      <c r="AL637" s="2113"/>
      <c r="AM637" s="7382"/>
      <c r="AN637" s="7386"/>
      <c r="AO637" s="7492" t="s">
        <v>516</v>
      </c>
      <c r="AP637" s="7383"/>
      <c r="AQ637" s="7383"/>
      <c r="AR637" s="7383"/>
      <c r="AS637" s="7380"/>
      <c r="AT637" s="7380"/>
      <c r="AU637" s="7381"/>
      <c r="AV637" s="7380"/>
      <c r="AW637" s="7381"/>
      <c r="AX637" s="7380"/>
      <c r="AY637" s="7380"/>
      <c r="AZ637" s="7380"/>
      <c r="BA637" s="7380"/>
      <c r="BB637" s="7385"/>
      <c r="BC637" s="2260"/>
      <c r="BD637" s="1648"/>
      <c r="BE637" s="1630"/>
      <c r="BF637" s="1630"/>
      <c r="BG637" s="1630"/>
      <c r="BH637" s="1630"/>
      <c r="BI637" s="1641">
        <v>0</v>
      </c>
    </row>
    <row customHeight="1" ht="14.25">
      <c r="A638" s="1369"/>
      <c r="B638" s="1369"/>
      <c r="C638" s="1369"/>
      <c r="D638" s="1369"/>
      <c r="E638" s="2265"/>
      <c r="F638" s="2265"/>
      <c r="G638" s="2265"/>
      <c r="H638" s="2265"/>
      <c r="I638" s="2292"/>
      <c r="J638" s="2292"/>
      <c r="K638" s="2262" t="str">
        <f>S633&amp;".1"</f>
        <v>.1</v>
      </c>
      <c r="L638" s="1375"/>
      <c r="M638" s="1782"/>
      <c r="N638" s="1782"/>
      <c r="O638" s="1782"/>
      <c r="P638" s="2380"/>
      <c r="Q638" s="2380"/>
      <c r="R638" s="2353">
        <v>1</v>
      </c>
      <c r="S638" s="2347" t="str">
        <f>$K638</f>
        <v>.1</v>
      </c>
      <c r="T638" s="2366"/>
      <c r="U638" s="306"/>
      <c r="V638" s="757"/>
      <c r="W638" s="1263"/>
      <c r="X638" s="757"/>
      <c r="Y638" s="1263"/>
      <c r="Z638" s="2608"/>
      <c r="AA638" s="2113" t="s">
        <v>62</v>
      </c>
      <c r="AB638" s="2608"/>
      <c r="AC638" s="2113" t="s">
        <v>62</v>
      </c>
      <c r="AD638" s="2191" t="s">
        <v>62</v>
      </c>
      <c r="AE638" s="2332"/>
      <c r="AF638" s="2443">
        <v>1</v>
      </c>
      <c r="AG638" s="2369"/>
      <c r="AH638" s="2113" t="s">
        <v>62</v>
      </c>
      <c r="AI638" s="689" t="s">
        <v>253</v>
      </c>
      <c r="AJ638" s="2443" t="s">
        <v>91</v>
      </c>
      <c r="AK638" s="2333" t="s">
        <v>535</v>
      </c>
      <c r="AL638" s="2113" t="s">
        <v>19</v>
      </c>
      <c r="AM638" s="2300"/>
      <c r="AN638" s="2443">
        <v>1</v>
      </c>
      <c r="AO638" s="3340" t="s">
        <v>28</v>
      </c>
      <c r="AP638" s="2364" t="s">
        <v>62</v>
      </c>
      <c r="AQ638" s="317"/>
      <c r="AR638" s="2443">
        <v>1</v>
      </c>
      <c r="AS638" s="2582" t="s">
        <v>541</v>
      </c>
      <c r="AT638" s="757"/>
      <c r="AU638" s="1263"/>
      <c r="AV638" s="757"/>
      <c r="AW638" s="1263">
        <v>6951.06</v>
      </c>
      <c r="AX638" s="2608">
        <v>46023.38684027778</v>
      </c>
      <c r="AY638" s="2113" t="s">
        <v>62</v>
      </c>
      <c r="AZ638" s="2608">
        <v>46387.40096064815</v>
      </c>
      <c r="BA638" s="2113" t="s">
        <v>62</v>
      </c>
      <c r="BB638" s="1354"/>
      <c r="BC638" s="2259" t="s">
        <v>514</v>
      </c>
      <c r="BD638" s="1648"/>
      <c r="BE638" s="1630"/>
      <c r="BF638" s="1630" t="str">
        <f>IF(T638="","",T638)</f>
        <v/>
      </c>
      <c r="BG638" s="1630"/>
      <c r="BH638" s="1630"/>
      <c r="BI638" s="1641">
        <v>0</v>
      </c>
    </row>
    <row customHeight="1" ht="14.25">
      <c r="A639" s="1369"/>
      <c r="B639" s="1369"/>
      <c r="C639" s="1369"/>
      <c r="D639" s="1369"/>
      <c r="E639" s="2265"/>
      <c r="F639" s="2265"/>
      <c r="G639" s="2265"/>
      <c r="H639" s="2265"/>
      <c r="I639" s="2292"/>
      <c r="J639" s="2292"/>
      <c r="K639" s="2262" t="str">
        <f>S635&amp;".1"</f>
        <v>.1.1.1</v>
      </c>
      <c r="L639" s="1375"/>
      <c r="M639" s="1782"/>
      <c r="N639" s="1782"/>
      <c r="O639" s="1782"/>
      <c r="P639" s="2380"/>
      <c r="Q639" s="2380"/>
      <c r="R639" s="2353">
        <v>1</v>
      </c>
      <c r="S639" s="2347" t="str">
        <f>$K639</f>
        <v>.1.1.1</v>
      </c>
      <c r="T639" s="2366"/>
      <c r="U639" s="306"/>
      <c r="V639" s="757"/>
      <c r="W639" s="1263"/>
      <c r="X639" s="757"/>
      <c r="Y639" s="1263"/>
      <c r="Z639" s="2608"/>
      <c r="AA639" s="2113" t="s">
        <v>62</v>
      </c>
      <c r="AB639" s="2608"/>
      <c r="AC639" s="2113" t="s">
        <v>62</v>
      </c>
      <c r="AD639" s="2191" t="s">
        <v>62</v>
      </c>
      <c r="AE639" s="2332"/>
      <c r="AF639" s="2443">
        <v>1</v>
      </c>
      <c r="AG639" s="2369"/>
      <c r="AH639" s="2113" t="s">
        <v>62</v>
      </c>
      <c r="AI639" s="2332"/>
      <c r="AJ639" s="2443">
        <v>1</v>
      </c>
      <c r="AK639" s="2333" t="s">
        <v>28</v>
      </c>
      <c r="AL639" s="2113" t="s">
        <v>62</v>
      </c>
      <c r="AM639" s="2300"/>
      <c r="AN639" s="2443">
        <v>1</v>
      </c>
      <c r="AO639" s="2363"/>
      <c r="AP639" s="2364" t="s">
        <v>62</v>
      </c>
      <c r="AQ639" s="689" t="s">
        <v>253</v>
      </c>
      <c r="AR639" s="2443" t="s">
        <v>112</v>
      </c>
      <c r="AS639" s="2582" t="s">
        <v>541</v>
      </c>
      <c r="AT639" s="757"/>
      <c r="AU639" s="1263"/>
      <c r="AV639" s="757"/>
      <c r="AW639" s="1263">
        <v>9196.91</v>
      </c>
      <c r="AX639" s="2608">
        <v>46023.38686342593</v>
      </c>
      <c r="AY639" s="2113" t="s">
        <v>62</v>
      </c>
      <c r="AZ639" s="2608">
        <v>46387.401030092595</v>
      </c>
      <c r="BA639" s="2113" t="s">
        <v>62</v>
      </c>
      <c r="BB639" s="1354"/>
      <c r="BC639" s="2259" t="s">
        <v>514</v>
      </c>
      <c r="BD639" s="1648"/>
      <c r="BE639" s="1630"/>
      <c r="BF639" s="1630" t="str">
        <f>IF(T639="","",T639)</f>
        <v/>
      </c>
      <c r="BG639" s="1630"/>
      <c r="BH639" s="1630"/>
      <c r="BI639" s="1641">
        <v>0</v>
      </c>
    </row>
    <row customHeight="1" ht="14.25">
      <c r="A640" s="1369"/>
      <c r="B640" s="1369"/>
      <c r="C640" s="1369"/>
      <c r="D640" s="1369"/>
      <c r="E640" s="2265"/>
      <c r="F640" s="2265"/>
      <c r="G640" s="2265"/>
      <c r="H640" s="2265"/>
      <c r="I640" s="2292"/>
      <c r="J640" s="2292"/>
      <c r="K640" s="2262" t="str">
        <f>S636&amp;".1"</f>
        <v>.1</v>
      </c>
      <c r="L640" s="1375"/>
      <c r="M640" s="1782"/>
      <c r="N640" s="1782"/>
      <c r="O640" s="1782"/>
      <c r="P640" s="2380"/>
      <c r="Q640" s="2380"/>
      <c r="R640" s="2353">
        <v>1</v>
      </c>
      <c r="S640" s="2347" t="str">
        <f>$K640</f>
        <v>.1</v>
      </c>
      <c r="T640" s="2366"/>
      <c r="U640" s="306"/>
      <c r="V640" s="757"/>
      <c r="W640" s="1263"/>
      <c r="X640" s="757"/>
      <c r="Y640" s="1263"/>
      <c r="Z640" s="2608"/>
      <c r="AA640" s="2113" t="s">
        <v>62</v>
      </c>
      <c r="AB640" s="2608"/>
      <c r="AC640" s="2113" t="s">
        <v>62</v>
      </c>
      <c r="AD640" s="2191" t="s">
        <v>62</v>
      </c>
      <c r="AE640" s="2332"/>
      <c r="AF640" s="2443">
        <v>1</v>
      </c>
      <c r="AG640" s="2369"/>
      <c r="AH640" s="2113" t="s">
        <v>62</v>
      </c>
      <c r="AI640" s="2332"/>
      <c r="AJ640" s="2443">
        <v>1</v>
      </c>
      <c r="AK640" s="2333" t="s">
        <v>28</v>
      </c>
      <c r="AL640" s="2113" t="s">
        <v>62</v>
      </c>
      <c r="AM640" s="2300"/>
      <c r="AN640" s="2443">
        <v>1</v>
      </c>
      <c r="AO640" s="2363"/>
      <c r="AP640" s="2364" t="s">
        <v>62</v>
      </c>
      <c r="AQ640" s="689" t="s">
        <v>253</v>
      </c>
      <c r="AR640" s="2443" t="s">
        <v>91</v>
      </c>
      <c r="AS640" s="2582" t="s">
        <v>541</v>
      </c>
      <c r="AT640" s="757"/>
      <c r="AU640" s="1263"/>
      <c r="AV640" s="757"/>
      <c r="AW640" s="1263">
        <v>7866.9</v>
      </c>
      <c r="AX640" s="2608">
        <v>46023.38689814815</v>
      </c>
      <c r="AY640" s="2113" t="s">
        <v>62</v>
      </c>
      <c r="AZ640" s="2608">
        <v>46387.40112268519</v>
      </c>
      <c r="BA640" s="2113" t="s">
        <v>62</v>
      </c>
      <c r="BB640" s="1354"/>
      <c r="BC640" s="2259" t="s">
        <v>514</v>
      </c>
      <c r="BD640" s="1648"/>
      <c r="BE640" s="1630"/>
      <c r="BF640" s="1630" t="str">
        <f>IF(T640="","",T640)</f>
        <v/>
      </c>
      <c r="BG640" s="1630"/>
      <c r="BH640" s="1630"/>
      <c r="BI640" s="1641">
        <v>0</v>
      </c>
    </row>
    <row customHeight="1" ht="14.25">
      <c r="A641" s="1369"/>
      <c r="B641" s="1369"/>
      <c r="C641" s="1369"/>
      <c r="D641" s="1369"/>
      <c r="E641" s="2265"/>
      <c r="F641" s="2265"/>
      <c r="G641" s="2265"/>
      <c r="H641" s="2265"/>
      <c r="I641" s="2292"/>
      <c r="J641" s="2292"/>
      <c r="K641" s="2262" t="str">
        <f>S637&amp;".1"</f>
        <v>.1</v>
      </c>
      <c r="L641" s="1375"/>
      <c r="M641" s="1782"/>
      <c r="N641" s="1782"/>
      <c r="O641" s="1782"/>
      <c r="P641" s="2380"/>
      <c r="Q641" s="2380"/>
      <c r="R641" s="2353">
        <v>1</v>
      </c>
      <c r="S641" s="2347" t="str">
        <f>$K641</f>
        <v>.1</v>
      </c>
      <c r="T641" s="2366"/>
      <c r="U641" s="306"/>
      <c r="V641" s="757"/>
      <c r="W641" s="1263"/>
      <c r="X641" s="757"/>
      <c r="Y641" s="1263"/>
      <c r="Z641" s="2608"/>
      <c r="AA641" s="2113" t="s">
        <v>62</v>
      </c>
      <c r="AB641" s="2608"/>
      <c r="AC641" s="2113" t="s">
        <v>62</v>
      </c>
      <c r="AD641" s="2191" t="s">
        <v>62</v>
      </c>
      <c r="AE641" s="2332"/>
      <c r="AF641" s="2443">
        <v>1</v>
      </c>
      <c r="AG641" s="2369"/>
      <c r="AH641" s="2113" t="s">
        <v>62</v>
      </c>
      <c r="AI641" s="2332"/>
      <c r="AJ641" s="2443">
        <v>1</v>
      </c>
      <c r="AK641" s="2333" t="s">
        <v>28</v>
      </c>
      <c r="AL641" s="2113" t="s">
        <v>62</v>
      </c>
      <c r="AM641" s="2300"/>
      <c r="AN641" s="2443">
        <v>1</v>
      </c>
      <c r="AO641" s="2363"/>
      <c r="AP641" s="2364" t="s">
        <v>62</v>
      </c>
      <c r="AQ641" s="689" t="s">
        <v>253</v>
      </c>
      <c r="AR641" s="2443" t="s">
        <v>92</v>
      </c>
      <c r="AS641" s="2582" t="s">
        <v>541</v>
      </c>
      <c r="AT641" s="757"/>
      <c r="AU641" s="1263"/>
      <c r="AV641" s="757"/>
      <c r="AW641" s="1263">
        <v>10158.15</v>
      </c>
      <c r="AX641" s="2608">
        <v>46023.38693287037</v>
      </c>
      <c r="AY641" s="2113" t="s">
        <v>62</v>
      </c>
      <c r="AZ641" s="2608">
        <v>46387.401192129626</v>
      </c>
      <c r="BA641" s="2113" t="s">
        <v>62</v>
      </c>
      <c r="BB641" s="1354"/>
      <c r="BC641" s="2259" t="s">
        <v>514</v>
      </c>
      <c r="BD641" s="1648"/>
      <c r="BE641" s="1630"/>
      <c r="BF641" s="1630" t="str">
        <f>IF(T641="","",T641)</f>
        <v/>
      </c>
      <c r="BG641" s="1630"/>
      <c r="BH641" s="1630"/>
      <c r="BI641" s="1641">
        <v>0</v>
      </c>
    </row>
    <row customHeight="1" ht="14.25">
      <c r="A642" s="1369"/>
      <c r="B642" s="1369"/>
      <c r="C642" s="1369"/>
      <c r="D642" s="1369"/>
      <c r="E642" s="2265"/>
      <c r="F642" s="2265"/>
      <c r="G642" s="2265"/>
      <c r="H642" s="2265"/>
      <c r="I642" s="2292"/>
      <c r="J642" s="2292"/>
      <c r="K642" s="2262"/>
      <c r="L642" s="1375"/>
      <c r="M642" s="1782"/>
      <c r="N642" s="1782"/>
      <c r="O642" s="1782"/>
      <c r="P642" s="2380"/>
      <c r="Q642" s="2380"/>
      <c r="R642" s="2353"/>
      <c r="S642" s="2348"/>
      <c r="T642" s="2367"/>
      <c r="U642" s="306"/>
      <c r="V642" s="7380"/>
      <c r="W642" s="7381"/>
      <c r="X642" s="7380"/>
      <c r="Y642" s="7381"/>
      <c r="Z642" s="7380"/>
      <c r="AA642" s="7380"/>
      <c r="AB642" s="7380"/>
      <c r="AC642" s="7380"/>
      <c r="AD642" s="2192"/>
      <c r="AE642" s="2332"/>
      <c r="AF642" s="2443"/>
      <c r="AG642" s="2369"/>
      <c r="AH642" s="2113"/>
      <c r="AI642" s="2332"/>
      <c r="AJ642" s="2443" t="s">
        <v>112</v>
      </c>
      <c r="AK642" s="2333"/>
      <c r="AL642" s="2113"/>
      <c r="AM642" s="2301"/>
      <c r="AN642" s="2443"/>
      <c r="AO642" s="3340" t="s">
        <v>28</v>
      </c>
      <c r="AP642" s="2365"/>
      <c r="AQ642" s="7382"/>
      <c r="AR642" s="7383"/>
      <c r="AS642" s="7493" t="s">
        <v>515</v>
      </c>
      <c r="AT642" s="7380"/>
      <c r="AU642" s="7381"/>
      <c r="AV642" s="7380"/>
      <c r="AW642" s="7381"/>
      <c r="AX642" s="7380"/>
      <c r="AY642" s="7380"/>
      <c r="AZ642" s="7380"/>
      <c r="BA642" s="7380"/>
      <c r="BB642" s="7385"/>
      <c r="BC642" s="2260"/>
      <c r="BD642" s="1648"/>
      <c r="BE642" s="1630"/>
      <c r="BF642" s="1630"/>
      <c r="BG642" s="1630"/>
      <c r="BH642" s="1630"/>
      <c r="BI642" s="1641">
        <v>0</v>
      </c>
    </row>
    <row customHeight="1" ht="14.25">
      <c r="A643" s="1369"/>
      <c r="B643" s="1369"/>
      <c r="C643" s="1369"/>
      <c r="D643" s="1369"/>
      <c r="E643" s="2265"/>
      <c r="F643" s="2265"/>
      <c r="G643" s="2265"/>
      <c r="H643" s="2265"/>
      <c r="I643" s="2292"/>
      <c r="J643" s="2292"/>
      <c r="K643" s="2262"/>
      <c r="L643" s="1375"/>
      <c r="M643" s="1782"/>
      <c r="N643" s="1782"/>
      <c r="O643" s="1782"/>
      <c r="P643" s="2380"/>
      <c r="Q643" s="2380"/>
      <c r="R643" s="2353"/>
      <c r="S643" s="2348"/>
      <c r="T643" s="2367"/>
      <c r="U643" s="306"/>
      <c r="V643" s="7380"/>
      <c r="W643" s="7381"/>
      <c r="X643" s="7380"/>
      <c r="Y643" s="7381"/>
      <c r="Z643" s="7380"/>
      <c r="AA643" s="7380"/>
      <c r="AB643" s="7380"/>
      <c r="AC643" s="7380"/>
      <c r="AD643" s="2192"/>
      <c r="AE643" s="2332"/>
      <c r="AF643" s="2443"/>
      <c r="AG643" s="2369"/>
      <c r="AH643" s="2113"/>
      <c r="AI643" s="2332"/>
      <c r="AJ643" s="2443" t="s">
        <v>112</v>
      </c>
      <c r="AK643" s="2333"/>
      <c r="AL643" s="2113"/>
      <c r="AM643" s="7382"/>
      <c r="AN643" s="7386"/>
      <c r="AO643" s="7494" t="s">
        <v>516</v>
      </c>
      <c r="AP643" s="7383"/>
      <c r="AQ643" s="7383"/>
      <c r="AR643" s="7383"/>
      <c r="AS643" s="7380"/>
      <c r="AT643" s="7380"/>
      <c r="AU643" s="7381"/>
      <c r="AV643" s="7380"/>
      <c r="AW643" s="7381"/>
      <c r="AX643" s="7380"/>
      <c r="AY643" s="7380"/>
      <c r="AZ643" s="7380"/>
      <c r="BA643" s="7380"/>
      <c r="BB643" s="7385"/>
      <c r="BC643" s="2260"/>
      <c r="BD643" s="1648"/>
      <c r="BE643" s="1630"/>
      <c r="BF643" s="1630"/>
      <c r="BG643" s="1630"/>
      <c r="BH643" s="1630"/>
      <c r="BI643" s="1641">
        <v>0</v>
      </c>
    </row>
    <row customHeight="1" ht="14.25">
      <c r="A644" s="1369"/>
      <c r="B644" s="1369"/>
      <c r="C644" s="1369"/>
      <c r="D644" s="1369"/>
      <c r="E644" s="2265"/>
      <c r="F644" s="2265"/>
      <c r="G644" s="2265"/>
      <c r="H644" s="2265"/>
      <c r="I644" s="2292"/>
      <c r="J644" s="2292"/>
      <c r="K644" s="2262" t="str">
        <f>S637&amp;".1"</f>
        <v>.1</v>
      </c>
      <c r="L644" s="1375"/>
      <c r="M644" s="1782"/>
      <c r="N644" s="1782"/>
      <c r="O644" s="1782"/>
      <c r="P644" s="2380"/>
      <c r="Q644" s="2380"/>
      <c r="R644" s="2353">
        <v>1</v>
      </c>
      <c r="S644" s="2347" t="str">
        <f>$K644</f>
        <v>.1</v>
      </c>
      <c r="T644" s="2366"/>
      <c r="U644" s="306"/>
      <c r="V644" s="757"/>
      <c r="W644" s="1263"/>
      <c r="X644" s="757"/>
      <c r="Y644" s="1263"/>
      <c r="Z644" s="2608"/>
      <c r="AA644" s="2113" t="s">
        <v>62</v>
      </c>
      <c r="AB644" s="2608"/>
      <c r="AC644" s="2113" t="s">
        <v>62</v>
      </c>
      <c r="AD644" s="2191" t="s">
        <v>62</v>
      </c>
      <c r="AE644" s="2332"/>
      <c r="AF644" s="2443">
        <v>1</v>
      </c>
      <c r="AG644" s="2369"/>
      <c r="AH644" s="2113" t="s">
        <v>62</v>
      </c>
      <c r="AI644" s="689" t="s">
        <v>253</v>
      </c>
      <c r="AJ644" s="2443" t="s">
        <v>92</v>
      </c>
      <c r="AK644" s="2333" t="s">
        <v>536</v>
      </c>
      <c r="AL644" s="2113" t="s">
        <v>19</v>
      </c>
      <c r="AM644" s="2300"/>
      <c r="AN644" s="2443">
        <v>1</v>
      </c>
      <c r="AO644" s="3340" t="s">
        <v>28</v>
      </c>
      <c r="AP644" s="2364" t="s">
        <v>62</v>
      </c>
      <c r="AQ644" s="317"/>
      <c r="AR644" s="2443">
        <v>1</v>
      </c>
      <c r="AS644" s="2582" t="s">
        <v>541</v>
      </c>
      <c r="AT644" s="757"/>
      <c r="AU644" s="1263"/>
      <c r="AV644" s="757"/>
      <c r="AW644" s="1263">
        <v>9838.69</v>
      </c>
      <c r="AX644" s="2608">
        <v>46023.38695601852</v>
      </c>
      <c r="AY644" s="2113" t="s">
        <v>62</v>
      </c>
      <c r="AZ644" s="2608">
        <v>46387.40127314815</v>
      </c>
      <c r="BA644" s="2113" t="s">
        <v>62</v>
      </c>
      <c r="BB644" s="1354"/>
      <c r="BC644" s="2259" t="s">
        <v>514</v>
      </c>
      <c r="BD644" s="1648"/>
      <c r="BE644" s="1630"/>
      <c r="BF644" s="1630" t="str">
        <f>IF(T644="","",T644)</f>
        <v/>
      </c>
      <c r="BG644" s="1630"/>
      <c r="BH644" s="1630"/>
      <c r="BI644" s="1641">
        <v>0</v>
      </c>
    </row>
    <row customHeight="1" ht="14.25">
      <c r="A645" s="1369"/>
      <c r="B645" s="1369"/>
      <c r="C645" s="1369"/>
      <c r="D645" s="1369"/>
      <c r="E645" s="2265"/>
      <c r="F645" s="2265"/>
      <c r="G645" s="2265"/>
      <c r="H645" s="2265"/>
      <c r="I645" s="2292"/>
      <c r="J645" s="2292"/>
      <c r="K645" s="2262" t="str">
        <f>S641&amp;".1"</f>
        <v>.1.1</v>
      </c>
      <c r="L645" s="1375"/>
      <c r="M645" s="1782"/>
      <c r="N645" s="1782"/>
      <c r="O645" s="1782"/>
      <c r="P645" s="2380"/>
      <c r="Q645" s="2380"/>
      <c r="R645" s="2353">
        <v>1</v>
      </c>
      <c r="S645" s="2347" t="str">
        <f>$K645</f>
        <v>.1.1</v>
      </c>
      <c r="T645" s="2366"/>
      <c r="U645" s="306"/>
      <c r="V645" s="757"/>
      <c r="W645" s="1263"/>
      <c r="X645" s="757"/>
      <c r="Y645" s="1263"/>
      <c r="Z645" s="2608"/>
      <c r="AA645" s="2113" t="s">
        <v>62</v>
      </c>
      <c r="AB645" s="2608"/>
      <c r="AC645" s="2113" t="s">
        <v>62</v>
      </c>
      <c r="AD645" s="2191" t="s">
        <v>62</v>
      </c>
      <c r="AE645" s="2332"/>
      <c r="AF645" s="2443">
        <v>1</v>
      </c>
      <c r="AG645" s="2369"/>
      <c r="AH645" s="2113" t="s">
        <v>62</v>
      </c>
      <c r="AI645" s="2332"/>
      <c r="AJ645" s="2443">
        <v>1</v>
      </c>
      <c r="AK645" s="2333" t="s">
        <v>28</v>
      </c>
      <c r="AL645" s="2113" t="s">
        <v>62</v>
      </c>
      <c r="AM645" s="2300"/>
      <c r="AN645" s="2443">
        <v>1</v>
      </c>
      <c r="AO645" s="2363"/>
      <c r="AP645" s="2364" t="s">
        <v>62</v>
      </c>
      <c r="AQ645" s="689" t="s">
        <v>253</v>
      </c>
      <c r="AR645" s="2443" t="s">
        <v>112</v>
      </c>
      <c r="AS645" s="2582" t="s">
        <v>541</v>
      </c>
      <c r="AT645" s="757"/>
      <c r="AU645" s="1263"/>
      <c r="AV645" s="757"/>
      <c r="AW645" s="1263">
        <v>12227.18</v>
      </c>
      <c r="AX645" s="2608">
        <v>46023.38701388889</v>
      </c>
      <c r="AY645" s="2113" t="s">
        <v>62</v>
      </c>
      <c r="AZ645" s="2608">
        <v>46387.40153935185</v>
      </c>
      <c r="BA645" s="2113" t="s">
        <v>62</v>
      </c>
      <c r="BB645" s="1354"/>
      <c r="BC645" s="2259" t="s">
        <v>514</v>
      </c>
      <c r="BD645" s="1648"/>
      <c r="BE645" s="1630"/>
      <c r="BF645" s="1630" t="str">
        <f>IF(T645="","",T645)</f>
        <v/>
      </c>
      <c r="BG645" s="1630"/>
      <c r="BH645" s="1630"/>
      <c r="BI645" s="1641">
        <v>0</v>
      </c>
    </row>
    <row customHeight="1" ht="14.25">
      <c r="A646" s="1369"/>
      <c r="B646" s="1369"/>
      <c r="C646" s="1369"/>
      <c r="D646" s="1369"/>
      <c r="E646" s="2265"/>
      <c r="F646" s="2265"/>
      <c r="G646" s="2265"/>
      <c r="H646" s="2265"/>
      <c r="I646" s="2292"/>
      <c r="J646" s="2292"/>
      <c r="K646" s="2262"/>
      <c r="L646" s="1375"/>
      <c r="M646" s="1782"/>
      <c r="N646" s="1782"/>
      <c r="O646" s="1782"/>
      <c r="P646" s="2380"/>
      <c r="Q646" s="2380"/>
      <c r="R646" s="2353"/>
      <c r="S646" s="2348"/>
      <c r="T646" s="2367"/>
      <c r="U646" s="306"/>
      <c r="V646" s="7380"/>
      <c r="W646" s="7381"/>
      <c r="X646" s="7380"/>
      <c r="Y646" s="7381"/>
      <c r="Z646" s="7380"/>
      <c r="AA646" s="7380"/>
      <c r="AB646" s="7380"/>
      <c r="AC646" s="7380"/>
      <c r="AD646" s="2192"/>
      <c r="AE646" s="2332"/>
      <c r="AF646" s="2443"/>
      <c r="AG646" s="2369"/>
      <c r="AH646" s="2113"/>
      <c r="AI646" s="2332"/>
      <c r="AJ646" s="2443" t="s">
        <v>91</v>
      </c>
      <c r="AK646" s="2333"/>
      <c r="AL646" s="2113"/>
      <c r="AM646" s="2301"/>
      <c r="AN646" s="2443"/>
      <c r="AO646" s="3340" t="s">
        <v>28</v>
      </c>
      <c r="AP646" s="2365"/>
      <c r="AQ646" s="7382"/>
      <c r="AR646" s="7383"/>
      <c r="AS646" s="7495" t="s">
        <v>515</v>
      </c>
      <c r="AT646" s="7380"/>
      <c r="AU646" s="7381"/>
      <c r="AV646" s="7380"/>
      <c r="AW646" s="7381"/>
      <c r="AX646" s="7380"/>
      <c r="AY646" s="7380"/>
      <c r="AZ646" s="7380"/>
      <c r="BA646" s="7380"/>
      <c r="BB646" s="7385"/>
      <c r="BC646" s="2260"/>
      <c r="BD646" s="1648"/>
      <c r="BE646" s="1630"/>
      <c r="BF646" s="1630"/>
      <c r="BG646" s="1630"/>
      <c r="BH646" s="1630"/>
      <c r="BI646" s="1641">
        <v>0</v>
      </c>
    </row>
    <row customHeight="1" ht="14.25">
      <c r="A647" s="1369"/>
      <c r="B647" s="1369"/>
      <c r="C647" s="1369"/>
      <c r="D647" s="1369"/>
      <c r="E647" s="2265"/>
      <c r="F647" s="2265"/>
      <c r="G647" s="2265"/>
      <c r="H647" s="2265"/>
      <c r="I647" s="2292"/>
      <c r="J647" s="2292"/>
      <c r="K647" s="2262"/>
      <c r="L647" s="1375"/>
      <c r="M647" s="1782"/>
      <c r="N647" s="1782"/>
      <c r="O647" s="1782"/>
      <c r="P647" s="2380"/>
      <c r="Q647" s="2380"/>
      <c r="R647" s="2353"/>
      <c r="S647" s="2348"/>
      <c r="T647" s="2367"/>
      <c r="U647" s="306"/>
      <c r="V647" s="7380"/>
      <c r="W647" s="7381"/>
      <c r="X647" s="7380"/>
      <c r="Y647" s="7381"/>
      <c r="Z647" s="7380"/>
      <c r="AA647" s="7380"/>
      <c r="AB647" s="7380"/>
      <c r="AC647" s="7380"/>
      <c r="AD647" s="2192"/>
      <c r="AE647" s="2332"/>
      <c r="AF647" s="2443"/>
      <c r="AG647" s="2369"/>
      <c r="AH647" s="2113"/>
      <c r="AI647" s="2332"/>
      <c r="AJ647" s="2443" t="s">
        <v>91</v>
      </c>
      <c r="AK647" s="2333"/>
      <c r="AL647" s="2113"/>
      <c r="AM647" s="7382"/>
      <c r="AN647" s="7386"/>
      <c r="AO647" s="7496" t="s">
        <v>516</v>
      </c>
      <c r="AP647" s="7383"/>
      <c r="AQ647" s="7383"/>
      <c r="AR647" s="7383"/>
      <c r="AS647" s="7380"/>
      <c r="AT647" s="7380"/>
      <c r="AU647" s="7381"/>
      <c r="AV647" s="7380"/>
      <c r="AW647" s="7381"/>
      <c r="AX647" s="7380"/>
      <c r="AY647" s="7380"/>
      <c r="AZ647" s="7380"/>
      <c r="BA647" s="7380"/>
      <c r="BB647" s="7385"/>
      <c r="BC647" s="2260"/>
      <c r="BD647" s="1648"/>
      <c r="BE647" s="1630"/>
      <c r="BF647" s="1630"/>
      <c r="BG647" s="1630"/>
      <c r="BH647" s="1630"/>
      <c r="BI647" s="1641">
        <v>0</v>
      </c>
    </row>
    <row customHeight="1" ht="14.25">
      <c r="A648" s="1369"/>
      <c r="B648" s="1369"/>
      <c r="C648" s="1369"/>
      <c r="D648" s="1369"/>
      <c r="E648" s="2265"/>
      <c r="F648" s="2265"/>
      <c r="G648" s="2265"/>
      <c r="H648" s="2265"/>
      <c r="I648" s="2292"/>
      <c r="J648" s="2292"/>
      <c r="K648" s="2262" t="str">
        <f>S643&amp;".1"</f>
        <v>.1</v>
      </c>
      <c r="L648" s="1375"/>
      <c r="M648" s="1782"/>
      <c r="N648" s="1782"/>
      <c r="O648" s="1782"/>
      <c r="P648" s="2380"/>
      <c r="Q648" s="2380"/>
      <c r="R648" s="2353">
        <v>1</v>
      </c>
      <c r="S648" s="2347" t="str">
        <f>$K648</f>
        <v>.1</v>
      </c>
      <c r="T648" s="2366"/>
      <c r="U648" s="306"/>
      <c r="V648" s="757"/>
      <c r="W648" s="1263"/>
      <c r="X648" s="757"/>
      <c r="Y648" s="1263"/>
      <c r="Z648" s="2608"/>
      <c r="AA648" s="2113" t="s">
        <v>62</v>
      </c>
      <c r="AB648" s="2608"/>
      <c r="AC648" s="2113" t="s">
        <v>62</v>
      </c>
      <c r="AD648" s="2191" t="s">
        <v>62</v>
      </c>
      <c r="AE648" s="2332"/>
      <c r="AF648" s="2443">
        <v>1</v>
      </c>
      <c r="AG648" s="2369"/>
      <c r="AH648" s="2113" t="s">
        <v>62</v>
      </c>
      <c r="AI648" s="689" t="s">
        <v>253</v>
      </c>
      <c r="AJ648" s="2443" t="s">
        <v>113</v>
      </c>
      <c r="AK648" s="2333" t="s">
        <v>537</v>
      </c>
      <c r="AL648" s="2113" t="s">
        <v>19</v>
      </c>
      <c r="AM648" s="2300"/>
      <c r="AN648" s="2443">
        <v>1</v>
      </c>
      <c r="AO648" s="3340" t="s">
        <v>28</v>
      </c>
      <c r="AP648" s="2364" t="s">
        <v>62</v>
      </c>
      <c r="AQ648" s="317"/>
      <c r="AR648" s="2443">
        <v>1</v>
      </c>
      <c r="AS648" s="2582" t="s">
        <v>541</v>
      </c>
      <c r="AT648" s="757"/>
      <c r="AU648" s="1263"/>
      <c r="AV648" s="757"/>
      <c r="AW648" s="1263">
        <v>12472.74</v>
      </c>
      <c r="AX648" s="2608">
        <v>46023.38704861111</v>
      </c>
      <c r="AY648" s="2113" t="s">
        <v>62</v>
      </c>
      <c r="AZ648" s="2608">
        <v>46387.40167824074</v>
      </c>
      <c r="BA648" s="2113" t="s">
        <v>62</v>
      </c>
      <c r="BB648" s="1354"/>
      <c r="BC648" s="2259" t="s">
        <v>514</v>
      </c>
      <c r="BD648" s="1648"/>
      <c r="BE648" s="1630"/>
      <c r="BF648" s="1630" t="str">
        <f>IF(T648="","",T648)</f>
        <v/>
      </c>
      <c r="BG648" s="1630"/>
      <c r="BH648" s="1630"/>
      <c r="BI648" s="1641">
        <v>0</v>
      </c>
    </row>
    <row customHeight="1" ht="14.25">
      <c r="A649" s="1369"/>
      <c r="B649" s="1369"/>
      <c r="C649" s="1369"/>
      <c r="D649" s="1369"/>
      <c r="E649" s="2265"/>
      <c r="F649" s="2265"/>
      <c r="G649" s="2265"/>
      <c r="H649" s="2265"/>
      <c r="I649" s="2292"/>
      <c r="J649" s="2292"/>
      <c r="K649" s="2262" t="str">
        <f>S645&amp;".1"</f>
        <v>.1.1.1</v>
      </c>
      <c r="L649" s="1375"/>
      <c r="M649" s="1782"/>
      <c r="N649" s="1782"/>
      <c r="O649" s="1782"/>
      <c r="P649" s="2380"/>
      <c r="Q649" s="2380"/>
      <c r="R649" s="2353">
        <v>1</v>
      </c>
      <c r="S649" s="2347" t="str">
        <f>$K649</f>
        <v>.1.1.1</v>
      </c>
      <c r="T649" s="2366"/>
      <c r="U649" s="306"/>
      <c r="V649" s="757"/>
      <c r="W649" s="1263"/>
      <c r="X649" s="757"/>
      <c r="Y649" s="1263"/>
      <c r="Z649" s="2608"/>
      <c r="AA649" s="2113" t="s">
        <v>62</v>
      </c>
      <c r="AB649" s="2608"/>
      <c r="AC649" s="2113" t="s">
        <v>62</v>
      </c>
      <c r="AD649" s="2191" t="s">
        <v>62</v>
      </c>
      <c r="AE649" s="2332"/>
      <c r="AF649" s="2443">
        <v>1</v>
      </c>
      <c r="AG649" s="2369"/>
      <c r="AH649" s="2113" t="s">
        <v>62</v>
      </c>
      <c r="AI649" s="2332"/>
      <c r="AJ649" s="2443">
        <v>1</v>
      </c>
      <c r="AK649" s="2333" t="s">
        <v>28</v>
      </c>
      <c r="AL649" s="2113" t="s">
        <v>62</v>
      </c>
      <c r="AM649" s="2300"/>
      <c r="AN649" s="2443">
        <v>1</v>
      </c>
      <c r="AO649" s="2363"/>
      <c r="AP649" s="2364" t="s">
        <v>62</v>
      </c>
      <c r="AQ649" s="689" t="s">
        <v>253</v>
      </c>
      <c r="AR649" s="2443" t="s">
        <v>112</v>
      </c>
      <c r="AS649" s="2582" t="s">
        <v>541</v>
      </c>
      <c r="AT649" s="757"/>
      <c r="AU649" s="1263"/>
      <c r="AV649" s="757"/>
      <c r="AW649" s="1263">
        <v>15111.99</v>
      </c>
      <c r="AX649" s="2608">
        <v>46023.387083333335</v>
      </c>
      <c r="AY649" s="2113" t="s">
        <v>62</v>
      </c>
      <c r="AZ649" s="2608">
        <v>46387.40175925926</v>
      </c>
      <c r="BA649" s="2113" t="s">
        <v>62</v>
      </c>
      <c r="BB649" s="1354"/>
      <c r="BC649" s="2259" t="s">
        <v>514</v>
      </c>
      <c r="BD649" s="1648"/>
      <c r="BE649" s="1630"/>
      <c r="BF649" s="1630" t="str">
        <f>IF(T649="","",T649)</f>
        <v/>
      </c>
      <c r="BG649" s="1630"/>
      <c r="BH649" s="1630"/>
      <c r="BI649" s="1641">
        <v>0</v>
      </c>
    </row>
    <row customHeight="1" ht="14.25">
      <c r="A650" s="1369"/>
      <c r="B650" s="1369"/>
      <c r="C650" s="1369"/>
      <c r="D650" s="1369"/>
      <c r="E650" s="2265"/>
      <c r="F650" s="2265"/>
      <c r="G650" s="2265"/>
      <c r="H650" s="2265"/>
      <c r="I650" s="2292"/>
      <c r="J650" s="2292"/>
      <c r="K650" s="2262"/>
      <c r="L650" s="1375"/>
      <c r="M650" s="1782"/>
      <c r="N650" s="1782"/>
      <c r="O650" s="1782"/>
      <c r="P650" s="2380"/>
      <c r="Q650" s="2380"/>
      <c r="R650" s="2353"/>
      <c r="S650" s="2348"/>
      <c r="T650" s="2367"/>
      <c r="U650" s="306"/>
      <c r="V650" s="7380"/>
      <c r="W650" s="7381"/>
      <c r="X650" s="7380"/>
      <c r="Y650" s="7381"/>
      <c r="Z650" s="7380"/>
      <c r="AA650" s="7380"/>
      <c r="AB650" s="7380"/>
      <c r="AC650" s="7380"/>
      <c r="AD650" s="2192"/>
      <c r="AE650" s="2332"/>
      <c r="AF650" s="2443"/>
      <c r="AG650" s="2369"/>
      <c r="AH650" s="2113"/>
      <c r="AI650" s="2332"/>
      <c r="AJ650" s="2443" t="s">
        <v>92</v>
      </c>
      <c r="AK650" s="2333"/>
      <c r="AL650" s="2113"/>
      <c r="AM650" s="2301"/>
      <c r="AN650" s="2443"/>
      <c r="AO650" s="3340" t="s">
        <v>28</v>
      </c>
      <c r="AP650" s="2365"/>
      <c r="AQ650" s="7382"/>
      <c r="AR650" s="7383"/>
      <c r="AS650" s="7497" t="s">
        <v>515</v>
      </c>
      <c r="AT650" s="7380"/>
      <c r="AU650" s="7381"/>
      <c r="AV650" s="7380"/>
      <c r="AW650" s="7381"/>
      <c r="AX650" s="7380"/>
      <c r="AY650" s="7380"/>
      <c r="AZ650" s="7380"/>
      <c r="BA650" s="7380"/>
      <c r="BB650" s="7385"/>
      <c r="BC650" s="2260"/>
      <c r="BD650" s="1648"/>
      <c r="BE650" s="1630"/>
      <c r="BF650" s="1630"/>
      <c r="BG650" s="1630"/>
      <c r="BH650" s="1630"/>
      <c r="BI650" s="1641">
        <v>0</v>
      </c>
    </row>
    <row customHeight="1" ht="14.25">
      <c r="A651" s="1369"/>
      <c r="B651" s="1369"/>
      <c r="C651" s="1369"/>
      <c r="D651" s="1369"/>
      <c r="E651" s="2265"/>
      <c r="F651" s="2265"/>
      <c r="G651" s="2265"/>
      <c r="H651" s="2265"/>
      <c r="I651" s="2292"/>
      <c r="J651" s="2292"/>
      <c r="K651" s="2262"/>
      <c r="L651" s="1375"/>
      <c r="M651" s="1782"/>
      <c r="N651" s="1782"/>
      <c r="O651" s="1782"/>
      <c r="P651" s="2380"/>
      <c r="Q651" s="2380"/>
      <c r="R651" s="2353"/>
      <c r="S651" s="2348"/>
      <c r="T651" s="2367"/>
      <c r="U651" s="306"/>
      <c r="V651" s="7380"/>
      <c r="W651" s="7381"/>
      <c r="X651" s="7380"/>
      <c r="Y651" s="7381"/>
      <c r="Z651" s="7380"/>
      <c r="AA651" s="7380"/>
      <c r="AB651" s="7380"/>
      <c r="AC651" s="7380"/>
      <c r="AD651" s="2192"/>
      <c r="AE651" s="2332"/>
      <c r="AF651" s="2443"/>
      <c r="AG651" s="2369"/>
      <c r="AH651" s="2113"/>
      <c r="AI651" s="2332"/>
      <c r="AJ651" s="2443" t="s">
        <v>92</v>
      </c>
      <c r="AK651" s="2333"/>
      <c r="AL651" s="2113"/>
      <c r="AM651" s="7382"/>
      <c r="AN651" s="7386"/>
      <c r="AO651" s="7498" t="s">
        <v>516</v>
      </c>
      <c r="AP651" s="7383"/>
      <c r="AQ651" s="7383"/>
      <c r="AR651" s="7383"/>
      <c r="AS651" s="7380"/>
      <c r="AT651" s="7380"/>
      <c r="AU651" s="7381"/>
      <c r="AV651" s="7380"/>
      <c r="AW651" s="7381"/>
      <c r="AX651" s="7380"/>
      <c r="AY651" s="7380"/>
      <c r="AZ651" s="7380"/>
      <c r="BA651" s="7380"/>
      <c r="BB651" s="7385"/>
      <c r="BC651" s="2260"/>
      <c r="BD651" s="1648"/>
      <c r="BE651" s="1630"/>
      <c r="BF651" s="1630"/>
      <c r="BG651" s="1630"/>
      <c r="BH651" s="1630"/>
      <c r="BI651" s="1641">
        <v>0</v>
      </c>
    </row>
    <row customHeight="1" ht="14.25">
      <c r="A652" s="1369"/>
      <c r="B652" s="1369"/>
      <c r="C652" s="1369"/>
      <c r="D652" s="1369"/>
      <c r="E652" s="2265"/>
      <c r="F652" s="2265"/>
      <c r="G652" s="2265"/>
      <c r="H652" s="2265"/>
      <c r="I652" s="2292"/>
      <c r="J652" s="2292"/>
      <c r="K652" s="2262" t="str">
        <f>S450&amp;".6"</f>
        <v>3.1.1.6</v>
      </c>
      <c r="L652" s="1375"/>
      <c r="M652" s="1782"/>
      <c r="N652" s="1782"/>
      <c r="O652" s="1782"/>
      <c r="P652" s="2380"/>
      <c r="Q652" s="2380"/>
      <c r="R652" s="2353"/>
      <c r="S652" s="2348"/>
      <c r="T652" s="2367"/>
      <c r="U652" s="306"/>
      <c r="V652" s="7380"/>
      <c r="W652" s="7381"/>
      <c r="X652" s="7380"/>
      <c r="Y652" s="7381"/>
      <c r="Z652" s="7380"/>
      <c r="AA652" s="7380"/>
      <c r="AB652" s="7380"/>
      <c r="AC652" s="7380"/>
      <c r="AD652" s="2192"/>
      <c r="AE652" s="2332"/>
      <c r="AF652" s="2443"/>
      <c r="AG652" s="3339" t="s">
        <v>28</v>
      </c>
      <c r="AH652" s="2113"/>
      <c r="AI652" s="7408"/>
      <c r="AJ652" s="7409"/>
      <c r="AK652" s="7499" t="s">
        <v>517</v>
      </c>
      <c r="AL652" s="7380"/>
      <c r="AM652" s="7380"/>
      <c r="AN652" s="7380"/>
      <c r="AO652" s="7380"/>
      <c r="AP652" s="7380"/>
      <c r="AQ652" s="7380"/>
      <c r="AR652" s="7380"/>
      <c r="AS652" s="7380"/>
      <c r="AT652" s="7380"/>
      <c r="AU652" s="7381"/>
      <c r="AV652" s="7380"/>
      <c r="AW652" s="7381"/>
      <c r="AX652" s="7380"/>
      <c r="AY652" s="7380"/>
      <c r="AZ652" s="7380"/>
      <c r="BA652" s="7380"/>
      <c r="BB652" s="7385"/>
      <c r="BC652" s="2260"/>
      <c r="BD652" s="1648"/>
      <c r="BE652" s="1630"/>
      <c r="BF652" s="1630"/>
      <c r="BG652" s="1630"/>
      <c r="BH652" s="1630"/>
      <c r="BI652" s="1641">
        <v>0</v>
      </c>
    </row>
    <row customHeight="1" ht="14.25">
      <c r="A653" s="1369"/>
      <c r="B653" s="1369"/>
      <c r="C653" s="1369"/>
      <c r="D653" s="1369"/>
      <c r="E653" s="2265"/>
      <c r="F653" s="2265"/>
      <c r="G653" s="2265"/>
      <c r="H653" s="2265"/>
      <c r="I653" s="2292"/>
      <c r="J653" s="2292"/>
      <c r="K653" s="2262" t="str">
        <f>S450&amp;".6"</f>
        <v>3.1.1.6</v>
      </c>
      <c r="L653" s="1375"/>
      <c r="M653" s="1782"/>
      <c r="N653" s="1782"/>
      <c r="O653" s="1782"/>
      <c r="P653" s="2380"/>
      <c r="Q653" s="2380"/>
      <c r="R653" s="2353"/>
      <c r="S653" s="2349"/>
      <c r="T653" s="2368"/>
      <c r="U653" s="306"/>
      <c r="V653" s="7380"/>
      <c r="W653" s="7500" t="str">
        <f>Z628&amp;"-"&amp;AB628</f>
        <v>-</v>
      </c>
      <c r="X653" s="7380"/>
      <c r="Y653" s="7501" t="str">
        <f>AB628&amp;"-"&amp;AD628</f>
        <v>-нет</v>
      </c>
      <c r="Z653" s="7380"/>
      <c r="AA653" s="7380"/>
      <c r="AB653" s="7380"/>
      <c r="AC653" s="7380"/>
      <c r="AD653" s="2118"/>
      <c r="AE653" s="7413"/>
      <c r="AF653" s="7414"/>
      <c r="AG653" s="7502" t="s">
        <v>518</v>
      </c>
      <c r="AH653" s="7380"/>
      <c r="AI653" s="7380"/>
      <c r="AJ653" s="7380"/>
      <c r="AK653" s="7380"/>
      <c r="AL653" s="7380"/>
      <c r="AM653" s="7380"/>
      <c r="AN653" s="7380"/>
      <c r="AO653" s="7380"/>
      <c r="AP653" s="7380"/>
      <c r="AQ653" s="7380"/>
      <c r="AR653" s="7380"/>
      <c r="AS653" s="7380"/>
      <c r="AT653" s="7380"/>
      <c r="AU653" s="7503" t="str">
        <f>AX628&amp;"-"&amp;AZ628</f>
        <v>46023.38662037037-46387.40049768519</v>
      </c>
      <c r="AV653" s="7380"/>
      <c r="AW653" s="7504" t="str">
        <f>AZ628&amp;"-"&amp;BB628</f>
        <v>46387.40049768519-</v>
      </c>
      <c r="AX653" s="7380"/>
      <c r="AY653" s="7380"/>
      <c r="AZ653" s="7380"/>
      <c r="BA653" s="7380"/>
      <c r="BB653" s="7505" t="str">
        <f>BE628&amp;"-"&amp;BG628</f>
        <v>-</v>
      </c>
      <c r="BC653" s="2260"/>
      <c r="BD653" s="1648"/>
      <c r="BE653" s="1630"/>
      <c r="BF653" s="1630" t="str">
        <f>IF(T653="","",T653)</f>
        <v/>
      </c>
      <c r="BG653" s="1630"/>
      <c r="BH653" s="1630"/>
      <c r="BI653" s="1641">
        <v>0</v>
      </c>
    </row>
    <row customHeight="1" ht="14.25">
      <c r="A654" s="1369"/>
      <c r="B654" s="1369"/>
      <c r="C654" s="1369"/>
      <c r="D654" s="1369"/>
      <c r="E654" s="2265"/>
      <c r="F654" s="2265"/>
      <c r="G654" s="2265"/>
      <c r="H654" s="2265"/>
      <c r="I654" s="2292"/>
      <c r="J654" s="2292"/>
      <c r="K654" s="2262" t="str">
        <f>S450&amp;".8"</f>
        <v>3.1.1.8</v>
      </c>
      <c r="L654" s="1375"/>
      <c r="M654" s="1782"/>
      <c r="N654" s="1782"/>
      <c r="O654" s="1782"/>
      <c r="P654" s="2380"/>
      <c r="Q654" s="2380"/>
      <c r="R654" s="689" t="s">
        <v>253</v>
      </c>
      <c r="S654" s="2347" t="str">
        <f>$K654</f>
        <v>3.1.1.8</v>
      </c>
      <c r="T654" s="2366" t="s">
        <v>545</v>
      </c>
      <c r="U654" s="306"/>
      <c r="V654" s="757"/>
      <c r="W654" s="1263"/>
      <c r="X654" s="757"/>
      <c r="Y654" s="1263"/>
      <c r="Z654" s="2608"/>
      <c r="AA654" s="2113" t="s">
        <v>62</v>
      </c>
      <c r="AB654" s="2608"/>
      <c r="AC654" s="2113" t="s">
        <v>62</v>
      </c>
      <c r="AD654" s="2191" t="s">
        <v>19</v>
      </c>
      <c r="AE654" s="2332"/>
      <c r="AF654" s="2443">
        <v>1</v>
      </c>
      <c r="AG654" s="3339" t="s">
        <v>28</v>
      </c>
      <c r="AH654" s="2113" t="s">
        <v>62</v>
      </c>
      <c r="AI654" s="2332"/>
      <c r="AJ654" s="2443">
        <v>1</v>
      </c>
      <c r="AK654" s="2333" t="s">
        <v>532</v>
      </c>
      <c r="AL654" s="2113" t="s">
        <v>19</v>
      </c>
      <c r="AM654" s="2300"/>
      <c r="AN654" s="2443">
        <v>1</v>
      </c>
      <c r="AO654" s="3340" t="s">
        <v>28</v>
      </c>
      <c r="AP654" s="2364" t="s">
        <v>62</v>
      </c>
      <c r="AQ654" s="317"/>
      <c r="AR654" s="2443">
        <v>1</v>
      </c>
      <c r="AS654" s="2582" t="s">
        <v>541</v>
      </c>
      <c r="AT654" s="757"/>
      <c r="AU654" s="1263"/>
      <c r="AV654" s="757"/>
      <c r="AW654" s="1263">
        <v>13215.73</v>
      </c>
      <c r="AX654" s="2608">
        <v>46023.38711805556</v>
      </c>
      <c r="AY654" s="2113" t="s">
        <v>62</v>
      </c>
      <c r="AZ654" s="2608">
        <v>46387.40184027778</v>
      </c>
      <c r="BA654" s="2113" t="s">
        <v>62</v>
      </c>
      <c r="BB654" s="1354"/>
      <c r="BC654" s="2259" t="s">
        <v>514</v>
      </c>
      <c r="BD654" s="1648"/>
      <c r="BE654" s="1630"/>
      <c r="BF654" s="1630" t="str">
        <f>IF(T654="","",T654)</f>
        <v>Прокладка трубопроводов водоснабжения в непроходных каналах с изоляцией минераловатными плитами и стеклопластиком, с погрузкой и вывозом грунта автотранспортом, диаметр труб:</v>
      </c>
      <c r="BG654" s="1630"/>
      <c r="BH654" s="1630"/>
      <c r="BI654" s="1641">
        <v>0</v>
      </c>
    </row>
    <row customHeight="1" ht="14.25">
      <c r="A655" s="1369"/>
      <c r="B655" s="1369"/>
      <c r="C655" s="1369"/>
      <c r="D655" s="1369"/>
      <c r="E655" s="2265"/>
      <c r="F655" s="2265"/>
      <c r="G655" s="2265"/>
      <c r="H655" s="2265"/>
      <c r="I655" s="2292"/>
      <c r="J655" s="2292"/>
      <c r="K655" s="2262" t="str">
        <f>S651&amp;".1"</f>
        <v>.1</v>
      </c>
      <c r="L655" s="1375"/>
      <c r="M655" s="1782"/>
      <c r="N655" s="1782"/>
      <c r="O655" s="1782"/>
      <c r="P655" s="2380"/>
      <c r="Q655" s="2380"/>
      <c r="R655" s="2353">
        <v>1</v>
      </c>
      <c r="S655" s="2347" t="str">
        <f>$K655</f>
        <v>.1</v>
      </c>
      <c r="T655" s="2366"/>
      <c r="U655" s="306"/>
      <c r="V655" s="757"/>
      <c r="W655" s="1263"/>
      <c r="X655" s="757"/>
      <c r="Y655" s="1263"/>
      <c r="Z655" s="2608"/>
      <c r="AA655" s="2113" t="s">
        <v>62</v>
      </c>
      <c r="AB655" s="2608"/>
      <c r="AC655" s="2113" t="s">
        <v>62</v>
      </c>
      <c r="AD655" s="2191" t="s">
        <v>62</v>
      </c>
      <c r="AE655" s="2332"/>
      <c r="AF655" s="2443">
        <v>1</v>
      </c>
      <c r="AG655" s="2369"/>
      <c r="AH655" s="2113" t="s">
        <v>62</v>
      </c>
      <c r="AI655" s="2332"/>
      <c r="AJ655" s="2443">
        <v>1</v>
      </c>
      <c r="AK655" s="2333" t="s">
        <v>28</v>
      </c>
      <c r="AL655" s="2113" t="s">
        <v>62</v>
      </c>
      <c r="AM655" s="2300"/>
      <c r="AN655" s="2443">
        <v>1</v>
      </c>
      <c r="AO655" s="2363"/>
      <c r="AP655" s="2364" t="s">
        <v>62</v>
      </c>
      <c r="AQ655" s="689" t="s">
        <v>253</v>
      </c>
      <c r="AR655" s="2443" t="s">
        <v>112</v>
      </c>
      <c r="AS655" s="2582" t="s">
        <v>541</v>
      </c>
      <c r="AT655" s="757"/>
      <c r="AU655" s="1263"/>
      <c r="AV655" s="757"/>
      <c r="AW655" s="1263">
        <v>17115.37</v>
      </c>
      <c r="AX655" s="2608">
        <v>46023.38716435185</v>
      </c>
      <c r="AY655" s="2113" t="s">
        <v>62</v>
      </c>
      <c r="AZ655" s="2608">
        <v>46387.40189814815</v>
      </c>
      <c r="BA655" s="2113" t="s">
        <v>62</v>
      </c>
      <c r="BB655" s="1354"/>
      <c r="BC655" s="2259" t="s">
        <v>514</v>
      </c>
      <c r="BD655" s="1648"/>
      <c r="BE655" s="1630"/>
      <c r="BF655" s="1630" t="str">
        <f>IF(T655="","",T655)</f>
        <v/>
      </c>
      <c r="BG655" s="1630"/>
      <c r="BH655" s="1630"/>
      <c r="BI655" s="1641">
        <v>0</v>
      </c>
    </row>
    <row customHeight="1" ht="14.25">
      <c r="A656" s="1369"/>
      <c r="B656" s="1369"/>
      <c r="C656" s="1369"/>
      <c r="D656" s="1369"/>
      <c r="E656" s="2265"/>
      <c r="F656" s="2265"/>
      <c r="G656" s="2265"/>
      <c r="H656" s="2265"/>
      <c r="I656" s="2292"/>
      <c r="J656" s="2292"/>
      <c r="K656" s="2262" t="str">
        <f>S450&amp;".7"</f>
        <v>3.1.1.7</v>
      </c>
      <c r="L656" s="1375"/>
      <c r="M656" s="1782"/>
      <c r="N656" s="1782"/>
      <c r="O656" s="1782"/>
      <c r="P656" s="2380"/>
      <c r="Q656" s="2380"/>
      <c r="R656" s="2353"/>
      <c r="S656" s="2348"/>
      <c r="T656" s="2367"/>
      <c r="U656" s="306"/>
      <c r="V656" s="7380"/>
      <c r="W656" s="7381"/>
      <c r="X656" s="7380"/>
      <c r="Y656" s="7381"/>
      <c r="Z656" s="7380"/>
      <c r="AA656" s="7380"/>
      <c r="AB656" s="7380"/>
      <c r="AC656" s="7380"/>
      <c r="AD656" s="2192"/>
      <c r="AE656" s="2332"/>
      <c r="AF656" s="2443"/>
      <c r="AG656" s="3339" t="s">
        <v>28</v>
      </c>
      <c r="AH656" s="2113"/>
      <c r="AI656" s="2332"/>
      <c r="AJ656" s="2443"/>
      <c r="AK656" s="2333"/>
      <c r="AL656" s="2113"/>
      <c r="AM656" s="2301"/>
      <c r="AN656" s="2443"/>
      <c r="AO656" s="3340" t="s">
        <v>28</v>
      </c>
      <c r="AP656" s="2365"/>
      <c r="AQ656" s="7382"/>
      <c r="AR656" s="7383"/>
      <c r="AS656" s="7506" t="s">
        <v>515</v>
      </c>
      <c r="AT656" s="7380"/>
      <c r="AU656" s="7381"/>
      <c r="AV656" s="7380"/>
      <c r="AW656" s="7381"/>
      <c r="AX656" s="7380"/>
      <c r="AY656" s="7380"/>
      <c r="AZ656" s="7380"/>
      <c r="BA656" s="7380"/>
      <c r="BB656" s="7385"/>
      <c r="BC656" s="2260"/>
      <c r="BD656" s="1648"/>
      <c r="BE656" s="1630"/>
      <c r="BF656" s="1630"/>
      <c r="BG656" s="1630"/>
      <c r="BH656" s="1630"/>
      <c r="BI656" s="1641">
        <v>0</v>
      </c>
    </row>
    <row customHeight="1" ht="14.25">
      <c r="A657" s="1369"/>
      <c r="B657" s="1369"/>
      <c r="C657" s="1369"/>
      <c r="D657" s="1369"/>
      <c r="E657" s="2265"/>
      <c r="F657" s="2265"/>
      <c r="G657" s="2265"/>
      <c r="H657" s="2265"/>
      <c r="I657" s="2292"/>
      <c r="J657" s="2292"/>
      <c r="K657" s="2262" t="str">
        <f>S450&amp;".7"</f>
        <v>3.1.1.7</v>
      </c>
      <c r="L657" s="1375"/>
      <c r="M657" s="1782"/>
      <c r="N657" s="1782"/>
      <c r="O657" s="1782"/>
      <c r="P657" s="2380"/>
      <c r="Q657" s="2380"/>
      <c r="R657" s="2353"/>
      <c r="S657" s="2348"/>
      <c r="T657" s="2367"/>
      <c r="U657" s="306"/>
      <c r="V657" s="7380"/>
      <c r="W657" s="7381"/>
      <c r="X657" s="7380"/>
      <c r="Y657" s="7381"/>
      <c r="Z657" s="7380"/>
      <c r="AA657" s="7380"/>
      <c r="AB657" s="7380"/>
      <c r="AC657" s="7380"/>
      <c r="AD657" s="2192"/>
      <c r="AE657" s="2332"/>
      <c r="AF657" s="2443"/>
      <c r="AG657" s="3339" t="s">
        <v>28</v>
      </c>
      <c r="AH657" s="2113"/>
      <c r="AI657" s="2332"/>
      <c r="AJ657" s="2443"/>
      <c r="AK657" s="2333"/>
      <c r="AL657" s="2113"/>
      <c r="AM657" s="7382"/>
      <c r="AN657" s="7386"/>
      <c r="AO657" s="7507" t="s">
        <v>516</v>
      </c>
      <c r="AP657" s="7383"/>
      <c r="AQ657" s="7383"/>
      <c r="AR657" s="7383"/>
      <c r="AS657" s="7380"/>
      <c r="AT657" s="7380"/>
      <c r="AU657" s="7381"/>
      <c r="AV657" s="7380"/>
      <c r="AW657" s="7381"/>
      <c r="AX657" s="7380"/>
      <c r="AY657" s="7380"/>
      <c r="AZ657" s="7380"/>
      <c r="BA657" s="7380"/>
      <c r="BB657" s="7385"/>
      <c r="BC657" s="2260"/>
      <c r="BD657" s="1648"/>
      <c r="BE657" s="1630"/>
      <c r="BF657" s="1630"/>
      <c r="BG657" s="1630"/>
      <c r="BH657" s="1630"/>
      <c r="BI657" s="1641">
        <v>0</v>
      </c>
    </row>
    <row customHeight="1" ht="14.25">
      <c r="A658" s="1369"/>
      <c r="B658" s="1369"/>
      <c r="C658" s="1369"/>
      <c r="D658" s="1369"/>
      <c r="E658" s="2265"/>
      <c r="F658" s="2265"/>
      <c r="G658" s="2265"/>
      <c r="H658" s="2265"/>
      <c r="I658" s="2292"/>
      <c r="J658" s="2292"/>
      <c r="K658" s="2262" t="str">
        <f>S653&amp;".1"</f>
        <v>.1</v>
      </c>
      <c r="L658" s="1375"/>
      <c r="M658" s="1782"/>
      <c r="N658" s="1782"/>
      <c r="O658" s="1782"/>
      <c r="P658" s="2380"/>
      <c r="Q658" s="2380"/>
      <c r="R658" s="2353">
        <v>1</v>
      </c>
      <c r="S658" s="2347" t="str">
        <f>$K658</f>
        <v>.1</v>
      </c>
      <c r="T658" s="2366"/>
      <c r="U658" s="306"/>
      <c r="V658" s="757"/>
      <c r="W658" s="1263"/>
      <c r="X658" s="757"/>
      <c r="Y658" s="1263"/>
      <c r="Z658" s="2608"/>
      <c r="AA658" s="2113" t="s">
        <v>62</v>
      </c>
      <c r="AB658" s="2608"/>
      <c r="AC658" s="2113" t="s">
        <v>62</v>
      </c>
      <c r="AD658" s="2191" t="s">
        <v>62</v>
      </c>
      <c r="AE658" s="2332"/>
      <c r="AF658" s="2443">
        <v>1</v>
      </c>
      <c r="AG658" s="2369"/>
      <c r="AH658" s="2113" t="s">
        <v>62</v>
      </c>
      <c r="AI658" s="689" t="s">
        <v>253</v>
      </c>
      <c r="AJ658" s="2443" t="s">
        <v>112</v>
      </c>
      <c r="AK658" s="2333" t="s">
        <v>533</v>
      </c>
      <c r="AL658" s="2113" t="s">
        <v>19</v>
      </c>
      <c r="AM658" s="2300"/>
      <c r="AN658" s="2443">
        <v>1</v>
      </c>
      <c r="AO658" s="3340" t="s">
        <v>28</v>
      </c>
      <c r="AP658" s="2364" t="s">
        <v>62</v>
      </c>
      <c r="AQ658" s="317"/>
      <c r="AR658" s="2443">
        <v>1</v>
      </c>
      <c r="AS658" s="2582" t="s">
        <v>541</v>
      </c>
      <c r="AT658" s="757"/>
      <c r="AU658" s="1263"/>
      <c r="AV658" s="7508"/>
      <c r="AW658" s="1263">
        <v>19076.74</v>
      </c>
      <c r="AX658" s="2608">
        <v>46023.38719907407</v>
      </c>
      <c r="AY658" s="2113" t="s">
        <v>62</v>
      </c>
      <c r="AZ658" s="2608">
        <v>46387.401967592596</v>
      </c>
      <c r="BA658" s="2113" t="s">
        <v>62</v>
      </c>
      <c r="BB658" s="1354"/>
      <c r="BC658" s="2259" t="s">
        <v>514</v>
      </c>
      <c r="BD658" s="1648"/>
      <c r="BE658" s="1630"/>
      <c r="BF658" s="1630" t="str">
        <f>IF(T658="","",T658)</f>
        <v/>
      </c>
      <c r="BG658" s="1630"/>
      <c r="BH658" s="1630"/>
      <c r="BI658" s="1641">
        <v>0</v>
      </c>
    </row>
    <row customHeight="1" ht="14.25">
      <c r="A659" s="1369"/>
      <c r="B659" s="1369"/>
      <c r="C659" s="1369"/>
      <c r="D659" s="1369"/>
      <c r="E659" s="2265"/>
      <c r="F659" s="2265"/>
      <c r="G659" s="2265"/>
      <c r="H659" s="2265"/>
      <c r="I659" s="2292"/>
      <c r="J659" s="2292"/>
      <c r="K659" s="2262" t="str">
        <f>S655&amp;".1"</f>
        <v>.1.1</v>
      </c>
      <c r="L659" s="1375"/>
      <c r="M659" s="1782"/>
      <c r="N659" s="1782"/>
      <c r="O659" s="1782"/>
      <c r="P659" s="2380"/>
      <c r="Q659" s="2380"/>
      <c r="R659" s="2353">
        <v>1</v>
      </c>
      <c r="S659" s="2347" t="str">
        <f>$K659</f>
        <v>.1.1</v>
      </c>
      <c r="T659" s="2366"/>
      <c r="U659" s="306"/>
      <c r="V659" s="757"/>
      <c r="W659" s="1263"/>
      <c r="X659" s="757"/>
      <c r="Y659" s="1263"/>
      <c r="Z659" s="2608"/>
      <c r="AA659" s="2113" t="s">
        <v>62</v>
      </c>
      <c r="AB659" s="2608"/>
      <c r="AC659" s="2113" t="s">
        <v>62</v>
      </c>
      <c r="AD659" s="2191" t="s">
        <v>62</v>
      </c>
      <c r="AE659" s="2332"/>
      <c r="AF659" s="2443">
        <v>1</v>
      </c>
      <c r="AG659" s="2369"/>
      <c r="AH659" s="2113" t="s">
        <v>62</v>
      </c>
      <c r="AI659" s="2332"/>
      <c r="AJ659" s="2443">
        <v>1</v>
      </c>
      <c r="AK659" s="2333" t="s">
        <v>28</v>
      </c>
      <c r="AL659" s="2113" t="s">
        <v>62</v>
      </c>
      <c r="AM659" s="2300"/>
      <c r="AN659" s="2443">
        <v>1</v>
      </c>
      <c r="AO659" s="2363"/>
      <c r="AP659" s="2364" t="s">
        <v>62</v>
      </c>
      <c r="AQ659" s="689" t="s">
        <v>253</v>
      </c>
      <c r="AR659" s="2443" t="s">
        <v>112</v>
      </c>
      <c r="AS659" s="2582" t="s">
        <v>541</v>
      </c>
      <c r="AT659" s="757"/>
      <c r="AU659" s="1263"/>
      <c r="AV659" s="757"/>
      <c r="AW659" s="1263">
        <v>23279.97</v>
      </c>
      <c r="AX659" s="2608">
        <v>46023.38722222222</v>
      </c>
      <c r="AY659" s="2113" t="s">
        <v>62</v>
      </c>
      <c r="AZ659" s="2608">
        <v>46387.40207175926</v>
      </c>
      <c r="BA659" s="2113" t="s">
        <v>62</v>
      </c>
      <c r="BB659" s="1354"/>
      <c r="BC659" s="2259" t="s">
        <v>514</v>
      </c>
      <c r="BD659" s="1648"/>
      <c r="BE659" s="1630"/>
      <c r="BF659" s="1630" t="str">
        <f>IF(T659="","",T659)</f>
        <v/>
      </c>
      <c r="BG659" s="1630"/>
      <c r="BH659" s="1630"/>
      <c r="BI659" s="1641">
        <v>0</v>
      </c>
    </row>
    <row customHeight="1" ht="14.25">
      <c r="A660" s="1369"/>
      <c r="B660" s="1369"/>
      <c r="C660" s="1369"/>
      <c r="D660" s="1369"/>
      <c r="E660" s="2265"/>
      <c r="F660" s="2265"/>
      <c r="G660" s="2265"/>
      <c r="H660" s="2265"/>
      <c r="I660" s="2292"/>
      <c r="J660" s="2292"/>
      <c r="K660" s="2262"/>
      <c r="L660" s="1375"/>
      <c r="M660" s="1782"/>
      <c r="N660" s="1782"/>
      <c r="O660" s="1782"/>
      <c r="P660" s="2380"/>
      <c r="Q660" s="2380"/>
      <c r="R660" s="2353"/>
      <c r="S660" s="2348"/>
      <c r="T660" s="2367"/>
      <c r="U660" s="306"/>
      <c r="V660" s="7380"/>
      <c r="W660" s="7381"/>
      <c r="X660" s="7380"/>
      <c r="Y660" s="7381"/>
      <c r="Z660" s="7380"/>
      <c r="AA660" s="7380"/>
      <c r="AB660" s="7380"/>
      <c r="AC660" s="7380"/>
      <c r="AD660" s="2192"/>
      <c r="AE660" s="2332"/>
      <c r="AF660" s="2443"/>
      <c r="AG660" s="2369"/>
      <c r="AH660" s="2113"/>
      <c r="AI660" s="2332"/>
      <c r="AJ660" s="2443">
        <v>1</v>
      </c>
      <c r="AK660" s="2333"/>
      <c r="AL660" s="2113"/>
      <c r="AM660" s="2301"/>
      <c r="AN660" s="2443"/>
      <c r="AO660" s="3340" t="s">
        <v>28</v>
      </c>
      <c r="AP660" s="2365"/>
      <c r="AQ660" s="7382"/>
      <c r="AR660" s="7383"/>
      <c r="AS660" s="7509" t="s">
        <v>515</v>
      </c>
      <c r="AT660" s="7380"/>
      <c r="AU660" s="7381"/>
      <c r="AV660" s="7380"/>
      <c r="AW660" s="7381"/>
      <c r="AX660" s="7380"/>
      <c r="AY660" s="7380"/>
      <c r="AZ660" s="7380"/>
      <c r="BA660" s="7380"/>
      <c r="BB660" s="7385"/>
      <c r="BC660" s="2260"/>
      <c r="BD660" s="1648"/>
      <c r="BE660" s="1630"/>
      <c r="BF660" s="1630"/>
      <c r="BG660" s="1630"/>
      <c r="BH660" s="1630"/>
      <c r="BI660" s="1641">
        <v>0</v>
      </c>
    </row>
    <row customHeight="1" ht="14.25">
      <c r="A661" s="1369"/>
      <c r="B661" s="1369"/>
      <c r="C661" s="1369"/>
      <c r="D661" s="1369"/>
      <c r="E661" s="2265"/>
      <c r="F661" s="2265"/>
      <c r="G661" s="2265"/>
      <c r="H661" s="2265"/>
      <c r="I661" s="2292"/>
      <c r="J661" s="2292"/>
      <c r="K661" s="2262"/>
      <c r="L661" s="1375"/>
      <c r="M661" s="1782"/>
      <c r="N661" s="1782"/>
      <c r="O661" s="1782"/>
      <c r="P661" s="2380"/>
      <c r="Q661" s="2380"/>
      <c r="R661" s="2353"/>
      <c r="S661" s="2348"/>
      <c r="T661" s="2367"/>
      <c r="U661" s="306"/>
      <c r="V661" s="7380"/>
      <c r="W661" s="7381"/>
      <c r="X661" s="7380"/>
      <c r="Y661" s="7381"/>
      <c r="Z661" s="7380"/>
      <c r="AA661" s="7380"/>
      <c r="AB661" s="7380"/>
      <c r="AC661" s="7380"/>
      <c r="AD661" s="2192"/>
      <c r="AE661" s="2332"/>
      <c r="AF661" s="2443"/>
      <c r="AG661" s="2369"/>
      <c r="AH661" s="2113"/>
      <c r="AI661" s="2332"/>
      <c r="AJ661" s="2443">
        <v>1</v>
      </c>
      <c r="AK661" s="2333"/>
      <c r="AL661" s="2113"/>
      <c r="AM661" s="7382"/>
      <c r="AN661" s="7386"/>
      <c r="AO661" s="7510" t="s">
        <v>516</v>
      </c>
      <c r="AP661" s="7383"/>
      <c r="AQ661" s="7383"/>
      <c r="AR661" s="7383"/>
      <c r="AS661" s="7380"/>
      <c r="AT661" s="7380"/>
      <c r="AU661" s="7381"/>
      <c r="AV661" s="7380"/>
      <c r="AW661" s="7381"/>
      <c r="AX661" s="7380"/>
      <c r="AY661" s="7380"/>
      <c r="AZ661" s="7380"/>
      <c r="BA661" s="7380"/>
      <c r="BB661" s="7385"/>
      <c r="BC661" s="2260"/>
      <c r="BD661" s="1648"/>
      <c r="BE661" s="1630"/>
      <c r="BF661" s="1630"/>
      <c r="BG661" s="1630"/>
      <c r="BH661" s="1630"/>
      <c r="BI661" s="1641">
        <v>0</v>
      </c>
    </row>
    <row customHeight="1" ht="14.25">
      <c r="A662" s="1369"/>
      <c r="B662" s="1369"/>
      <c r="C662" s="1369"/>
      <c r="D662" s="1369"/>
      <c r="E662" s="2265"/>
      <c r="F662" s="2265"/>
      <c r="G662" s="2265"/>
      <c r="H662" s="2265"/>
      <c r="I662" s="2292"/>
      <c r="J662" s="2292"/>
      <c r="K662" s="2262" t="str">
        <f>S657&amp;".1"</f>
        <v>.1</v>
      </c>
      <c r="L662" s="1375"/>
      <c r="M662" s="1782"/>
      <c r="N662" s="1782"/>
      <c r="O662" s="1782"/>
      <c r="P662" s="2380"/>
      <c r="Q662" s="2380"/>
      <c r="R662" s="2353">
        <v>1</v>
      </c>
      <c r="S662" s="2347" t="str">
        <f>$K662</f>
        <v>.1</v>
      </c>
      <c r="T662" s="2366"/>
      <c r="U662" s="306"/>
      <c r="V662" s="757"/>
      <c r="W662" s="1263"/>
      <c r="X662" s="757"/>
      <c r="Y662" s="1263"/>
      <c r="Z662" s="2608"/>
      <c r="AA662" s="2113" t="s">
        <v>62</v>
      </c>
      <c r="AB662" s="2608"/>
      <c r="AC662" s="2113" t="s">
        <v>62</v>
      </c>
      <c r="AD662" s="2191" t="s">
        <v>62</v>
      </c>
      <c r="AE662" s="2332"/>
      <c r="AF662" s="2443">
        <v>1</v>
      </c>
      <c r="AG662" s="2369"/>
      <c r="AH662" s="2113" t="s">
        <v>62</v>
      </c>
      <c r="AI662" s="689" t="s">
        <v>253</v>
      </c>
      <c r="AJ662" s="2443" t="s">
        <v>91</v>
      </c>
      <c r="AK662" s="2333" t="s">
        <v>534</v>
      </c>
      <c r="AL662" s="2113" t="s">
        <v>19</v>
      </c>
      <c r="AM662" s="2300"/>
      <c r="AN662" s="2443">
        <v>1</v>
      </c>
      <c r="AO662" s="3340" t="s">
        <v>28</v>
      </c>
      <c r="AP662" s="2364" t="s">
        <v>62</v>
      </c>
      <c r="AQ662" s="317"/>
      <c r="AR662" s="2443">
        <v>1</v>
      </c>
      <c r="AS662" s="2582" t="s">
        <v>541</v>
      </c>
      <c r="AT662" s="757"/>
      <c r="AU662" s="1263"/>
      <c r="AV662" s="757"/>
      <c r="AW662" s="1263">
        <v>26247.02</v>
      </c>
      <c r="AX662" s="2608">
        <v>46023.38725694444</v>
      </c>
      <c r="AY662" s="2113" t="s">
        <v>62</v>
      </c>
      <c r="AZ662" s="2608">
        <v>46387.4021875</v>
      </c>
      <c r="BA662" s="2113" t="s">
        <v>62</v>
      </c>
      <c r="BB662" s="1354"/>
      <c r="BC662" s="2259" t="s">
        <v>514</v>
      </c>
      <c r="BD662" s="1648"/>
      <c r="BE662" s="1630"/>
      <c r="BF662" s="1630" t="str">
        <f>IF(T662="","",T662)</f>
        <v/>
      </c>
      <c r="BG662" s="1630"/>
      <c r="BH662" s="1630"/>
      <c r="BI662" s="1641">
        <v>0</v>
      </c>
    </row>
    <row customHeight="1" ht="14.25">
      <c r="A663" s="1369"/>
      <c r="B663" s="1369"/>
      <c r="C663" s="1369"/>
      <c r="D663" s="1369"/>
      <c r="E663" s="2265"/>
      <c r="F663" s="2265"/>
      <c r="G663" s="2265"/>
      <c r="H663" s="2265"/>
      <c r="I663" s="2292"/>
      <c r="J663" s="2292"/>
      <c r="K663" s="2262" t="str">
        <f>S659&amp;".1"</f>
        <v>.1.1.1</v>
      </c>
      <c r="L663" s="1375"/>
      <c r="M663" s="1782"/>
      <c r="N663" s="1782"/>
      <c r="O663" s="1782"/>
      <c r="P663" s="2380"/>
      <c r="Q663" s="2380"/>
      <c r="R663" s="2353">
        <v>1</v>
      </c>
      <c r="S663" s="2347" t="str">
        <f>$K663</f>
        <v>.1.1.1</v>
      </c>
      <c r="T663" s="2366"/>
      <c r="U663" s="306"/>
      <c r="V663" s="757"/>
      <c r="W663" s="1263"/>
      <c r="X663" s="757"/>
      <c r="Y663" s="1263"/>
      <c r="Z663" s="2608"/>
      <c r="AA663" s="2113" t="s">
        <v>62</v>
      </c>
      <c r="AB663" s="2608"/>
      <c r="AC663" s="2113" t="s">
        <v>62</v>
      </c>
      <c r="AD663" s="2191" t="s">
        <v>62</v>
      </c>
      <c r="AE663" s="2332"/>
      <c r="AF663" s="2443">
        <v>1</v>
      </c>
      <c r="AG663" s="2369"/>
      <c r="AH663" s="2113" t="s">
        <v>62</v>
      </c>
      <c r="AI663" s="2332"/>
      <c r="AJ663" s="2443">
        <v>1</v>
      </c>
      <c r="AK663" s="2333" t="s">
        <v>28</v>
      </c>
      <c r="AL663" s="2113" t="s">
        <v>62</v>
      </c>
      <c r="AM663" s="2300"/>
      <c r="AN663" s="2443">
        <v>1</v>
      </c>
      <c r="AO663" s="2363"/>
      <c r="AP663" s="2364" t="s">
        <v>62</v>
      </c>
      <c r="AQ663" s="689" t="s">
        <v>253</v>
      </c>
      <c r="AR663" s="2443" t="s">
        <v>112</v>
      </c>
      <c r="AS663" s="2582" t="s">
        <v>541</v>
      </c>
      <c r="AT663" s="757"/>
      <c r="AU663" s="1263"/>
      <c r="AV663" s="757"/>
      <c r="AW663" s="1263">
        <v>26777.01</v>
      </c>
      <c r="AX663" s="2608">
        <v>46023.38730324074</v>
      </c>
      <c r="AY663" s="2113" t="s">
        <v>62</v>
      </c>
      <c r="AZ663" s="2608">
        <v>46387.402337962965</v>
      </c>
      <c r="BA663" s="2113" t="s">
        <v>62</v>
      </c>
      <c r="BB663" s="1354"/>
      <c r="BC663" s="2259" t="s">
        <v>514</v>
      </c>
      <c r="BD663" s="1648"/>
      <c r="BE663" s="1630"/>
      <c r="BF663" s="1630" t="str">
        <f>IF(T663="","",T663)</f>
        <v/>
      </c>
      <c r="BG663" s="1630"/>
      <c r="BH663" s="1630"/>
      <c r="BI663" s="1641">
        <v>0</v>
      </c>
    </row>
    <row customHeight="1" ht="14.25">
      <c r="A664" s="1369"/>
      <c r="B664" s="1369"/>
      <c r="C664" s="1369"/>
      <c r="D664" s="1369"/>
      <c r="E664" s="2265"/>
      <c r="F664" s="2265"/>
      <c r="G664" s="2265"/>
      <c r="H664" s="2265"/>
      <c r="I664" s="2292"/>
      <c r="J664" s="2292"/>
      <c r="K664" s="2262"/>
      <c r="L664" s="1375"/>
      <c r="M664" s="1782"/>
      <c r="N664" s="1782"/>
      <c r="O664" s="1782"/>
      <c r="P664" s="2380"/>
      <c r="Q664" s="2380"/>
      <c r="R664" s="2353"/>
      <c r="S664" s="2348"/>
      <c r="T664" s="2367"/>
      <c r="U664" s="306"/>
      <c r="V664" s="7380"/>
      <c r="W664" s="7381"/>
      <c r="X664" s="7380"/>
      <c r="Y664" s="7381"/>
      <c r="Z664" s="7380"/>
      <c r="AA664" s="7380"/>
      <c r="AB664" s="7380"/>
      <c r="AC664" s="7380"/>
      <c r="AD664" s="2192"/>
      <c r="AE664" s="2332"/>
      <c r="AF664" s="2443"/>
      <c r="AG664" s="2369"/>
      <c r="AH664" s="2113"/>
      <c r="AI664" s="2332"/>
      <c r="AJ664" s="2443" t="s">
        <v>112</v>
      </c>
      <c r="AK664" s="2333"/>
      <c r="AL664" s="2113"/>
      <c r="AM664" s="2301"/>
      <c r="AN664" s="2443"/>
      <c r="AO664" s="3340" t="s">
        <v>28</v>
      </c>
      <c r="AP664" s="2365"/>
      <c r="AQ664" s="7382"/>
      <c r="AR664" s="7383"/>
      <c r="AS664" s="7511" t="s">
        <v>515</v>
      </c>
      <c r="AT664" s="7380"/>
      <c r="AU664" s="7381"/>
      <c r="AV664" s="7380"/>
      <c r="AW664" s="7381"/>
      <c r="AX664" s="7380"/>
      <c r="AY664" s="7380"/>
      <c r="AZ664" s="7380"/>
      <c r="BA664" s="7380"/>
      <c r="BB664" s="7385"/>
      <c r="BC664" s="2260"/>
      <c r="BD664" s="1648"/>
      <c r="BE664" s="1630"/>
      <c r="BF664" s="1630"/>
      <c r="BG664" s="1630"/>
      <c r="BH664" s="1630"/>
      <c r="BI664" s="1641">
        <v>0</v>
      </c>
    </row>
    <row customHeight="1" ht="14.25">
      <c r="A665" s="1369"/>
      <c r="B665" s="1369"/>
      <c r="C665" s="1369"/>
      <c r="D665" s="1369"/>
      <c r="E665" s="2265"/>
      <c r="F665" s="2265"/>
      <c r="G665" s="2265"/>
      <c r="H665" s="2265"/>
      <c r="I665" s="2292"/>
      <c r="J665" s="2292"/>
      <c r="K665" s="2262"/>
      <c r="L665" s="1375"/>
      <c r="M665" s="1782"/>
      <c r="N665" s="1782"/>
      <c r="O665" s="1782"/>
      <c r="P665" s="2380"/>
      <c r="Q665" s="2380"/>
      <c r="R665" s="2353"/>
      <c r="S665" s="2348"/>
      <c r="T665" s="2367"/>
      <c r="U665" s="306"/>
      <c r="V665" s="7380"/>
      <c r="W665" s="7381"/>
      <c r="X665" s="7380"/>
      <c r="Y665" s="7381"/>
      <c r="Z665" s="7380"/>
      <c r="AA665" s="7380"/>
      <c r="AB665" s="7380"/>
      <c r="AC665" s="7380"/>
      <c r="AD665" s="2192"/>
      <c r="AE665" s="2332"/>
      <c r="AF665" s="2443"/>
      <c r="AG665" s="2369"/>
      <c r="AH665" s="2113"/>
      <c r="AI665" s="2332"/>
      <c r="AJ665" s="2443" t="s">
        <v>112</v>
      </c>
      <c r="AK665" s="2333"/>
      <c r="AL665" s="2113"/>
      <c r="AM665" s="7382"/>
      <c r="AN665" s="7386"/>
      <c r="AO665" s="7512" t="s">
        <v>516</v>
      </c>
      <c r="AP665" s="7383"/>
      <c r="AQ665" s="7383"/>
      <c r="AR665" s="7383"/>
      <c r="AS665" s="7380"/>
      <c r="AT665" s="7380"/>
      <c r="AU665" s="7381"/>
      <c r="AV665" s="7380"/>
      <c r="AW665" s="7381"/>
      <c r="AX665" s="7380"/>
      <c r="AY665" s="7380"/>
      <c r="AZ665" s="7380"/>
      <c r="BA665" s="7380"/>
      <c r="BB665" s="7385"/>
      <c r="BC665" s="2260"/>
      <c r="BD665" s="1648"/>
      <c r="BE665" s="1630"/>
      <c r="BF665" s="1630"/>
      <c r="BG665" s="1630"/>
      <c r="BH665" s="1630"/>
      <c r="BI665" s="1641">
        <v>0</v>
      </c>
    </row>
    <row customHeight="1" ht="14.25">
      <c r="A666" s="1369"/>
      <c r="B666" s="1369"/>
      <c r="C666" s="1369"/>
      <c r="D666" s="1369"/>
      <c r="E666" s="2265"/>
      <c r="F666" s="2265"/>
      <c r="G666" s="2265"/>
      <c r="H666" s="2265"/>
      <c r="I666" s="2292"/>
      <c r="J666" s="2292"/>
      <c r="K666" s="2262" t="str">
        <f>S661&amp;".1"</f>
        <v>.1</v>
      </c>
      <c r="L666" s="1375"/>
      <c r="M666" s="1782"/>
      <c r="N666" s="1782"/>
      <c r="O666" s="1782"/>
      <c r="P666" s="2380"/>
      <c r="Q666" s="2380"/>
      <c r="R666" s="2353">
        <v>1</v>
      </c>
      <c r="S666" s="2347" t="str">
        <f>$K666</f>
        <v>.1</v>
      </c>
      <c r="T666" s="2366"/>
      <c r="U666" s="306"/>
      <c r="V666" s="757"/>
      <c r="W666" s="1263"/>
      <c r="X666" s="757"/>
      <c r="Y666" s="1263"/>
      <c r="Z666" s="2608"/>
      <c r="AA666" s="2113" t="s">
        <v>62</v>
      </c>
      <c r="AB666" s="2608"/>
      <c r="AC666" s="2113" t="s">
        <v>62</v>
      </c>
      <c r="AD666" s="2191" t="s">
        <v>62</v>
      </c>
      <c r="AE666" s="2332"/>
      <c r="AF666" s="2443">
        <v>1</v>
      </c>
      <c r="AG666" s="2369"/>
      <c r="AH666" s="2113" t="s">
        <v>62</v>
      </c>
      <c r="AI666" s="689" t="s">
        <v>253</v>
      </c>
      <c r="AJ666" s="2443" t="s">
        <v>92</v>
      </c>
      <c r="AK666" s="2333" t="s">
        <v>535</v>
      </c>
      <c r="AL666" s="2113" t="s">
        <v>19</v>
      </c>
      <c r="AM666" s="2300"/>
      <c r="AN666" s="2443">
        <v>1</v>
      </c>
      <c r="AO666" s="3340" t="s">
        <v>28</v>
      </c>
      <c r="AP666" s="2364" t="s">
        <v>62</v>
      </c>
      <c r="AQ666" s="317"/>
      <c r="AR666" s="2443">
        <v>1</v>
      </c>
      <c r="AS666" s="2582" t="s">
        <v>541</v>
      </c>
      <c r="AT666" s="757"/>
      <c r="AU666" s="1263"/>
      <c r="AV666" s="757"/>
      <c r="AW666" s="1263">
        <v>35788.31</v>
      </c>
      <c r="AX666" s="2608">
        <v>46023.38732638889</v>
      </c>
      <c r="AY666" s="2113" t="s">
        <v>62</v>
      </c>
      <c r="AZ666" s="2608">
        <v>46387.40241898148</v>
      </c>
      <c r="BA666" s="2113" t="s">
        <v>62</v>
      </c>
      <c r="BB666" s="1354"/>
      <c r="BC666" s="2259" t="s">
        <v>514</v>
      </c>
      <c r="BD666" s="1648"/>
      <c r="BE666" s="1630"/>
      <c r="BF666" s="1630" t="str">
        <f>IF(T666="","",T666)</f>
        <v/>
      </c>
      <c r="BG666" s="1630"/>
      <c r="BH666" s="1630"/>
      <c r="BI666" s="1641">
        <v>0</v>
      </c>
    </row>
    <row customHeight="1" ht="14.25">
      <c r="A667" s="1369"/>
      <c r="B667" s="1369"/>
      <c r="C667" s="1369"/>
      <c r="D667" s="1369"/>
      <c r="E667" s="2265"/>
      <c r="F667" s="2265"/>
      <c r="G667" s="2265"/>
      <c r="H667" s="2265"/>
      <c r="I667" s="2292"/>
      <c r="J667" s="2292"/>
      <c r="K667" s="2262" t="str">
        <f>S663&amp;".1"</f>
        <v>.1.1.1.1</v>
      </c>
      <c r="L667" s="1375"/>
      <c r="M667" s="1782"/>
      <c r="N667" s="1782"/>
      <c r="O667" s="1782"/>
      <c r="P667" s="2380"/>
      <c r="Q667" s="2380"/>
      <c r="R667" s="2353">
        <v>1</v>
      </c>
      <c r="S667" s="2347" t="str">
        <f>$K667</f>
        <v>.1.1.1.1</v>
      </c>
      <c r="T667" s="2366"/>
      <c r="U667" s="306"/>
      <c r="V667" s="757"/>
      <c r="W667" s="1263"/>
      <c r="X667" s="757"/>
      <c r="Y667" s="1263"/>
      <c r="Z667" s="2608"/>
      <c r="AA667" s="2113" t="s">
        <v>62</v>
      </c>
      <c r="AB667" s="2608"/>
      <c r="AC667" s="2113" t="s">
        <v>62</v>
      </c>
      <c r="AD667" s="2191" t="s">
        <v>62</v>
      </c>
      <c r="AE667" s="2332"/>
      <c r="AF667" s="2443">
        <v>1</v>
      </c>
      <c r="AG667" s="2369"/>
      <c r="AH667" s="2113" t="s">
        <v>62</v>
      </c>
      <c r="AI667" s="2332"/>
      <c r="AJ667" s="2443">
        <v>1</v>
      </c>
      <c r="AK667" s="2333" t="s">
        <v>28</v>
      </c>
      <c r="AL667" s="2113" t="s">
        <v>62</v>
      </c>
      <c r="AM667" s="2300"/>
      <c r="AN667" s="2443">
        <v>1</v>
      </c>
      <c r="AO667" s="2363"/>
      <c r="AP667" s="2364" t="s">
        <v>62</v>
      </c>
      <c r="AQ667" s="689" t="s">
        <v>253</v>
      </c>
      <c r="AR667" s="2443" t="s">
        <v>112</v>
      </c>
      <c r="AS667" s="2582" t="s">
        <v>541</v>
      </c>
      <c r="AT667" s="757"/>
      <c r="AU667" s="1263"/>
      <c r="AV667" s="757"/>
      <c r="AW667" s="1263">
        <v>38017.3</v>
      </c>
      <c r="AX667" s="2608">
        <v>46023.38738425926</v>
      </c>
      <c r="AY667" s="2113" t="s">
        <v>62</v>
      </c>
      <c r="AZ667" s="2608">
        <v>46387.40251157407</v>
      </c>
      <c r="BA667" s="2113" t="s">
        <v>62</v>
      </c>
      <c r="BB667" s="1354"/>
      <c r="BC667" s="2259" t="s">
        <v>514</v>
      </c>
      <c r="BD667" s="1648"/>
      <c r="BE667" s="1630"/>
      <c r="BF667" s="1630" t="str">
        <f>IF(T667="","",T667)</f>
        <v/>
      </c>
      <c r="BG667" s="1630"/>
      <c r="BH667" s="1630"/>
      <c r="BI667" s="1641">
        <v>0</v>
      </c>
    </row>
    <row customHeight="1" ht="14.25">
      <c r="A668" s="1369"/>
      <c r="B668" s="1369"/>
      <c r="C668" s="1369"/>
      <c r="D668" s="1369"/>
      <c r="E668" s="2265"/>
      <c r="F668" s="2265"/>
      <c r="G668" s="2265"/>
      <c r="H668" s="2265"/>
      <c r="I668" s="2292"/>
      <c r="J668" s="2292"/>
      <c r="K668" s="2262"/>
      <c r="L668" s="1375"/>
      <c r="M668" s="1782"/>
      <c r="N668" s="1782"/>
      <c r="O668" s="1782"/>
      <c r="P668" s="2380"/>
      <c r="Q668" s="2380"/>
      <c r="R668" s="2353"/>
      <c r="S668" s="2348"/>
      <c r="T668" s="2367"/>
      <c r="U668" s="306"/>
      <c r="V668" s="7380"/>
      <c r="W668" s="7381"/>
      <c r="X668" s="7380"/>
      <c r="Y668" s="7381"/>
      <c r="Z668" s="7380"/>
      <c r="AA668" s="7380"/>
      <c r="AB668" s="7380"/>
      <c r="AC668" s="7380"/>
      <c r="AD668" s="2192"/>
      <c r="AE668" s="2332"/>
      <c r="AF668" s="2443"/>
      <c r="AG668" s="2369"/>
      <c r="AH668" s="2113"/>
      <c r="AI668" s="2332"/>
      <c r="AJ668" s="2443" t="s">
        <v>91</v>
      </c>
      <c r="AK668" s="2333"/>
      <c r="AL668" s="2113"/>
      <c r="AM668" s="2301"/>
      <c r="AN668" s="2443"/>
      <c r="AO668" s="3340" t="s">
        <v>28</v>
      </c>
      <c r="AP668" s="2365"/>
      <c r="AQ668" s="7382"/>
      <c r="AR668" s="7383"/>
      <c r="AS668" s="7513" t="s">
        <v>515</v>
      </c>
      <c r="AT668" s="7380"/>
      <c r="AU668" s="7381"/>
      <c r="AV668" s="7380"/>
      <c r="AW668" s="7381"/>
      <c r="AX668" s="7380"/>
      <c r="AY668" s="7380"/>
      <c r="AZ668" s="7380"/>
      <c r="BA668" s="7380"/>
      <c r="BB668" s="7385"/>
      <c r="BC668" s="2260"/>
      <c r="BD668" s="1648"/>
      <c r="BE668" s="1630"/>
      <c r="BF668" s="1630"/>
      <c r="BG668" s="1630"/>
      <c r="BH668" s="1630"/>
      <c r="BI668" s="1641">
        <v>0</v>
      </c>
    </row>
    <row customHeight="1" ht="14.25">
      <c r="A669" s="1369"/>
      <c r="B669" s="1369"/>
      <c r="C669" s="1369"/>
      <c r="D669" s="1369"/>
      <c r="E669" s="2265"/>
      <c r="F669" s="2265"/>
      <c r="G669" s="2265"/>
      <c r="H669" s="2265"/>
      <c r="I669" s="2292"/>
      <c r="J669" s="2292"/>
      <c r="K669" s="2262"/>
      <c r="L669" s="1375"/>
      <c r="M669" s="1782"/>
      <c r="N669" s="1782"/>
      <c r="O669" s="1782"/>
      <c r="P669" s="2380"/>
      <c r="Q669" s="2380"/>
      <c r="R669" s="2353"/>
      <c r="S669" s="2348"/>
      <c r="T669" s="2367"/>
      <c r="U669" s="306"/>
      <c r="V669" s="7380"/>
      <c r="W669" s="7381"/>
      <c r="X669" s="7380"/>
      <c r="Y669" s="7381"/>
      <c r="Z669" s="7380"/>
      <c r="AA669" s="7380"/>
      <c r="AB669" s="7380"/>
      <c r="AC669" s="7380"/>
      <c r="AD669" s="2192"/>
      <c r="AE669" s="2332"/>
      <c r="AF669" s="2443"/>
      <c r="AG669" s="2369"/>
      <c r="AH669" s="2113"/>
      <c r="AI669" s="2332"/>
      <c r="AJ669" s="2443" t="s">
        <v>91</v>
      </c>
      <c r="AK669" s="2333"/>
      <c r="AL669" s="2113"/>
      <c r="AM669" s="7382"/>
      <c r="AN669" s="7386"/>
      <c r="AO669" s="7514" t="s">
        <v>516</v>
      </c>
      <c r="AP669" s="7383"/>
      <c r="AQ669" s="7383"/>
      <c r="AR669" s="7383"/>
      <c r="AS669" s="7380"/>
      <c r="AT669" s="7380"/>
      <c r="AU669" s="7381"/>
      <c r="AV669" s="7380"/>
      <c r="AW669" s="7381"/>
      <c r="AX669" s="7380"/>
      <c r="AY669" s="7380"/>
      <c r="AZ669" s="7380"/>
      <c r="BA669" s="7380"/>
      <c r="BB669" s="7385"/>
      <c r="BC669" s="2260"/>
      <c r="BD669" s="1648"/>
      <c r="BE669" s="1630"/>
      <c r="BF669" s="1630"/>
      <c r="BG669" s="1630"/>
      <c r="BH669" s="1630"/>
      <c r="BI669" s="1641">
        <v>0</v>
      </c>
    </row>
    <row customHeight="1" ht="14.25">
      <c r="A670" s="1369"/>
      <c r="B670" s="1369"/>
      <c r="C670" s="1369"/>
      <c r="D670" s="1369"/>
      <c r="E670" s="2265"/>
      <c r="F670" s="2265"/>
      <c r="G670" s="2265"/>
      <c r="H670" s="2265"/>
      <c r="I670" s="2292"/>
      <c r="J670" s="2292"/>
      <c r="K670" s="2262" t="str">
        <f>S665&amp;".1"</f>
        <v>.1</v>
      </c>
      <c r="L670" s="1375"/>
      <c r="M670" s="1782"/>
      <c r="N670" s="1782"/>
      <c r="O670" s="1782"/>
      <c r="P670" s="2380"/>
      <c r="Q670" s="2380"/>
      <c r="R670" s="2353">
        <v>1</v>
      </c>
      <c r="S670" s="2347" t="str">
        <f>$K670</f>
        <v>.1</v>
      </c>
      <c r="T670" s="2366"/>
      <c r="U670" s="306"/>
      <c r="V670" s="757"/>
      <c r="W670" s="1263"/>
      <c r="X670" s="757"/>
      <c r="Y670" s="1263"/>
      <c r="Z670" s="2608"/>
      <c r="AA670" s="2113" t="s">
        <v>62</v>
      </c>
      <c r="AB670" s="2608"/>
      <c r="AC670" s="2113" t="s">
        <v>62</v>
      </c>
      <c r="AD670" s="2191" t="s">
        <v>62</v>
      </c>
      <c r="AE670" s="2332"/>
      <c r="AF670" s="2443">
        <v>1</v>
      </c>
      <c r="AG670" s="2369"/>
      <c r="AH670" s="2113" t="s">
        <v>62</v>
      </c>
      <c r="AI670" s="689" t="s">
        <v>253</v>
      </c>
      <c r="AJ670" s="2443" t="s">
        <v>113</v>
      </c>
      <c r="AK670" s="2333" t="s">
        <v>536</v>
      </c>
      <c r="AL670" s="2113" t="s">
        <v>19</v>
      </c>
      <c r="AM670" s="2300"/>
      <c r="AN670" s="2443">
        <v>1</v>
      </c>
      <c r="AO670" s="3340" t="s">
        <v>28</v>
      </c>
      <c r="AP670" s="2364" t="s">
        <v>62</v>
      </c>
      <c r="AQ670" s="317"/>
      <c r="AR670" s="2443">
        <v>1</v>
      </c>
      <c r="AS670" s="2582" t="s">
        <v>541</v>
      </c>
      <c r="AT670" s="757"/>
      <c r="AU670" s="1263"/>
      <c r="AV670" s="757"/>
      <c r="AW670" s="1263">
        <v>42594.89</v>
      </c>
      <c r="AX670" s="2608">
        <v>46023.38741898148</v>
      </c>
      <c r="AY670" s="2113" t="s">
        <v>62</v>
      </c>
      <c r="AZ670" s="2608">
        <v>46387.402604166666</v>
      </c>
      <c r="BA670" s="2113" t="s">
        <v>62</v>
      </c>
      <c r="BB670" s="1354"/>
      <c r="BC670" s="2259" t="s">
        <v>514</v>
      </c>
      <c r="BD670" s="1648"/>
      <c r="BE670" s="1630"/>
      <c r="BF670" s="1630" t="str">
        <f>IF(T670="","",T670)</f>
        <v/>
      </c>
      <c r="BG670" s="1630"/>
      <c r="BH670" s="1630"/>
      <c r="BI670" s="1641">
        <v>0</v>
      </c>
    </row>
    <row customHeight="1" ht="14.25">
      <c r="A671" s="1369"/>
      <c r="B671" s="1369"/>
      <c r="C671" s="1369"/>
      <c r="D671" s="1369"/>
      <c r="E671" s="2265"/>
      <c r="F671" s="2265"/>
      <c r="G671" s="2265"/>
      <c r="H671" s="2265"/>
      <c r="I671" s="2292"/>
      <c r="J671" s="2292"/>
      <c r="K671" s="2262"/>
      <c r="L671" s="1375"/>
      <c r="M671" s="1782"/>
      <c r="N671" s="1782"/>
      <c r="O671" s="1782"/>
      <c r="P671" s="2380"/>
      <c r="Q671" s="2380"/>
      <c r="R671" s="2353"/>
      <c r="S671" s="2348"/>
      <c r="T671" s="2367"/>
      <c r="U671" s="306"/>
      <c r="V671" s="7380"/>
      <c r="W671" s="7381"/>
      <c r="X671" s="7380"/>
      <c r="Y671" s="7381"/>
      <c r="Z671" s="7380"/>
      <c r="AA671" s="7380"/>
      <c r="AB671" s="7380"/>
      <c r="AC671" s="7380"/>
      <c r="AD671" s="2192"/>
      <c r="AE671" s="2332"/>
      <c r="AF671" s="2443"/>
      <c r="AG671" s="2369"/>
      <c r="AH671" s="2113"/>
      <c r="AI671" s="2332"/>
      <c r="AJ671" s="2443" t="s">
        <v>92</v>
      </c>
      <c r="AK671" s="2333"/>
      <c r="AL671" s="2113"/>
      <c r="AM671" s="2301"/>
      <c r="AN671" s="2443"/>
      <c r="AO671" s="3340" t="s">
        <v>28</v>
      </c>
      <c r="AP671" s="2365"/>
      <c r="AQ671" s="7382"/>
      <c r="AR671" s="7383"/>
      <c r="AS671" s="7515" t="s">
        <v>515</v>
      </c>
      <c r="AT671" s="7380"/>
      <c r="AU671" s="7381"/>
      <c r="AV671" s="7380"/>
      <c r="AW671" s="7381"/>
      <c r="AX671" s="7380"/>
      <c r="AY671" s="7380"/>
      <c r="AZ671" s="7380"/>
      <c r="BA671" s="7380"/>
      <c r="BB671" s="7385"/>
      <c r="BC671" s="2260"/>
      <c r="BD671" s="1648"/>
      <c r="BE671" s="1630"/>
      <c r="BF671" s="1630"/>
      <c r="BG671" s="1630"/>
      <c r="BH671" s="1630"/>
      <c r="BI671" s="1641">
        <v>0</v>
      </c>
    </row>
    <row customHeight="1" ht="14.25">
      <c r="A672" s="1369"/>
      <c r="B672" s="1369"/>
      <c r="C672" s="1369"/>
      <c r="D672" s="1369"/>
      <c r="E672" s="2265"/>
      <c r="F672" s="2265"/>
      <c r="G672" s="2265"/>
      <c r="H672" s="2265"/>
      <c r="I672" s="2292"/>
      <c r="J672" s="2292"/>
      <c r="K672" s="2262"/>
      <c r="L672" s="1375"/>
      <c r="M672" s="1782"/>
      <c r="N672" s="1782"/>
      <c r="O672" s="1782"/>
      <c r="P672" s="2380"/>
      <c r="Q672" s="2380"/>
      <c r="R672" s="2353"/>
      <c r="S672" s="2348"/>
      <c r="T672" s="2367"/>
      <c r="U672" s="306"/>
      <c r="V672" s="7380"/>
      <c r="W672" s="7381"/>
      <c r="X672" s="7380"/>
      <c r="Y672" s="7381"/>
      <c r="Z672" s="7380"/>
      <c r="AA672" s="7380"/>
      <c r="AB672" s="7380"/>
      <c r="AC672" s="7380"/>
      <c r="AD672" s="2192"/>
      <c r="AE672" s="2332"/>
      <c r="AF672" s="2443"/>
      <c r="AG672" s="2369"/>
      <c r="AH672" s="2113"/>
      <c r="AI672" s="2332"/>
      <c r="AJ672" s="2443" t="s">
        <v>92</v>
      </c>
      <c r="AK672" s="2333"/>
      <c r="AL672" s="2113"/>
      <c r="AM672" s="7382"/>
      <c r="AN672" s="7386"/>
      <c r="AO672" s="7516" t="s">
        <v>516</v>
      </c>
      <c r="AP672" s="7383"/>
      <c r="AQ672" s="7383"/>
      <c r="AR672" s="7383"/>
      <c r="AS672" s="7380"/>
      <c r="AT672" s="7380"/>
      <c r="AU672" s="7381"/>
      <c r="AV672" s="7380"/>
      <c r="AW672" s="7381"/>
      <c r="AX672" s="7380"/>
      <c r="AY672" s="7380"/>
      <c r="AZ672" s="7380"/>
      <c r="BA672" s="7380"/>
      <c r="BB672" s="7385"/>
      <c r="BC672" s="2260"/>
      <c r="BD672" s="1648"/>
      <c r="BE672" s="1630"/>
      <c r="BF672" s="1630"/>
      <c r="BG672" s="1630"/>
      <c r="BH672" s="1630"/>
      <c r="BI672" s="1641">
        <v>0</v>
      </c>
    </row>
    <row customHeight="1" ht="14.25">
      <c r="A673" s="1369"/>
      <c r="B673" s="1369"/>
      <c r="C673" s="1369"/>
      <c r="D673" s="1369"/>
      <c r="E673" s="2265"/>
      <c r="F673" s="2265"/>
      <c r="G673" s="2265"/>
      <c r="H673" s="2265"/>
      <c r="I673" s="2292"/>
      <c r="J673" s="2292"/>
      <c r="K673" s="2262" t="str">
        <f>S669&amp;".1"</f>
        <v>.1</v>
      </c>
      <c r="L673" s="1375"/>
      <c r="M673" s="1782"/>
      <c r="N673" s="1782"/>
      <c r="O673" s="1782"/>
      <c r="P673" s="2380"/>
      <c r="Q673" s="2380"/>
      <c r="R673" s="2353">
        <v>1</v>
      </c>
      <c r="S673" s="2347" t="str">
        <f>$K673</f>
        <v>.1</v>
      </c>
      <c r="T673" s="2366"/>
      <c r="U673" s="306"/>
      <c r="V673" s="757"/>
      <c r="W673" s="1263"/>
      <c r="X673" s="757"/>
      <c r="Y673" s="1263"/>
      <c r="Z673" s="2608"/>
      <c r="AA673" s="2113" t="s">
        <v>62</v>
      </c>
      <c r="AB673" s="2608"/>
      <c r="AC673" s="2113" t="s">
        <v>62</v>
      </c>
      <c r="AD673" s="2191" t="s">
        <v>62</v>
      </c>
      <c r="AE673" s="2332"/>
      <c r="AF673" s="2443">
        <v>1</v>
      </c>
      <c r="AG673" s="2369"/>
      <c r="AH673" s="2113" t="s">
        <v>62</v>
      </c>
      <c r="AI673" s="689" t="s">
        <v>253</v>
      </c>
      <c r="AJ673" s="2443" t="s">
        <v>93</v>
      </c>
      <c r="AK673" s="2333" t="s">
        <v>537</v>
      </c>
      <c r="AL673" s="2113" t="s">
        <v>19</v>
      </c>
      <c r="AM673" s="2300"/>
      <c r="AN673" s="2443">
        <v>1</v>
      </c>
      <c r="AO673" s="3340" t="s">
        <v>28</v>
      </c>
      <c r="AP673" s="2364" t="s">
        <v>62</v>
      </c>
      <c r="AQ673" s="317"/>
      <c r="AR673" s="2443">
        <v>1</v>
      </c>
      <c r="AS673" s="2582" t="s">
        <v>541</v>
      </c>
      <c r="AT673" s="757"/>
      <c r="AU673" s="1263"/>
      <c r="AV673" s="757"/>
      <c r="AW673" s="1263">
        <v>55140.29</v>
      </c>
      <c r="AX673" s="2608">
        <v>46023.38746527778</v>
      </c>
      <c r="AY673" s="2113" t="s">
        <v>62</v>
      </c>
      <c r="AZ673" s="2608">
        <v>46387.40267361111</v>
      </c>
      <c r="BA673" s="2113" t="s">
        <v>62</v>
      </c>
      <c r="BB673" s="1354"/>
      <c r="BC673" s="2259" t="s">
        <v>514</v>
      </c>
      <c r="BD673" s="1648"/>
      <c r="BE673" s="1630"/>
      <c r="BF673" s="1630" t="str">
        <f>IF(T673="","",T673)</f>
        <v/>
      </c>
      <c r="BG673" s="1630"/>
      <c r="BH673" s="1630"/>
      <c r="BI673" s="1641">
        <v>0</v>
      </c>
    </row>
    <row customHeight="1" ht="14.25">
      <c r="A674" s="1369"/>
      <c r="B674" s="1369"/>
      <c r="C674" s="1369"/>
      <c r="D674" s="1369"/>
      <c r="E674" s="2265"/>
      <c r="F674" s="2265"/>
      <c r="G674" s="2265"/>
      <c r="H674" s="2265"/>
      <c r="I674" s="2292"/>
      <c r="J674" s="2292"/>
      <c r="K674" s="2262"/>
      <c r="L674" s="1375"/>
      <c r="M674" s="1782"/>
      <c r="N674" s="1782"/>
      <c r="O674" s="1782"/>
      <c r="P674" s="2380"/>
      <c r="Q674" s="2380"/>
      <c r="R674" s="2353"/>
      <c r="S674" s="2348"/>
      <c r="T674" s="2367"/>
      <c r="U674" s="306"/>
      <c r="V674" s="7380"/>
      <c r="W674" s="7381"/>
      <c r="X674" s="7380"/>
      <c r="Y674" s="7381"/>
      <c r="Z674" s="7380"/>
      <c r="AA674" s="7380"/>
      <c r="AB674" s="7380"/>
      <c r="AC674" s="7380"/>
      <c r="AD674" s="2192"/>
      <c r="AE674" s="2332"/>
      <c r="AF674" s="2443"/>
      <c r="AG674" s="2369"/>
      <c r="AH674" s="2113"/>
      <c r="AI674" s="2332"/>
      <c r="AJ674" s="2443" t="s">
        <v>113</v>
      </c>
      <c r="AK674" s="2333"/>
      <c r="AL674" s="2113"/>
      <c r="AM674" s="2301"/>
      <c r="AN674" s="2443"/>
      <c r="AO674" s="3340" t="s">
        <v>28</v>
      </c>
      <c r="AP674" s="2365"/>
      <c r="AQ674" s="7382"/>
      <c r="AR674" s="7383"/>
      <c r="AS674" s="7517" t="s">
        <v>515</v>
      </c>
      <c r="AT674" s="7380"/>
      <c r="AU674" s="7381"/>
      <c r="AV674" s="7380"/>
      <c r="AW674" s="7381"/>
      <c r="AX674" s="7380"/>
      <c r="AY674" s="7380"/>
      <c r="AZ674" s="7380"/>
      <c r="BA674" s="7380"/>
      <c r="BB674" s="7385"/>
      <c r="BC674" s="2260"/>
      <c r="BD674" s="1648"/>
      <c r="BE674" s="1630"/>
      <c r="BF674" s="1630"/>
      <c r="BG674" s="1630"/>
      <c r="BH674" s="1630"/>
      <c r="BI674" s="1641">
        <v>0</v>
      </c>
    </row>
    <row customHeight="1" ht="14.25">
      <c r="A675" s="1369"/>
      <c r="B675" s="1369"/>
      <c r="C675" s="1369"/>
      <c r="D675" s="1369"/>
      <c r="E675" s="2265"/>
      <c r="F675" s="2265"/>
      <c r="G675" s="2265"/>
      <c r="H675" s="2265"/>
      <c r="I675" s="2292"/>
      <c r="J675" s="2292"/>
      <c r="K675" s="2262"/>
      <c r="L675" s="1375"/>
      <c r="M675" s="1782"/>
      <c r="N675" s="1782"/>
      <c r="O675" s="1782"/>
      <c r="P675" s="2380"/>
      <c r="Q675" s="2380"/>
      <c r="R675" s="2353"/>
      <c r="S675" s="2348"/>
      <c r="T675" s="2367"/>
      <c r="U675" s="306"/>
      <c r="V675" s="7380"/>
      <c r="W675" s="7381"/>
      <c r="X675" s="7380"/>
      <c r="Y675" s="7381"/>
      <c r="Z675" s="7380"/>
      <c r="AA675" s="7380"/>
      <c r="AB675" s="7380"/>
      <c r="AC675" s="7380"/>
      <c r="AD675" s="2192"/>
      <c r="AE675" s="2332"/>
      <c r="AF675" s="2443"/>
      <c r="AG675" s="2369"/>
      <c r="AH675" s="2113"/>
      <c r="AI675" s="2332"/>
      <c r="AJ675" s="2443" t="s">
        <v>113</v>
      </c>
      <c r="AK675" s="2333"/>
      <c r="AL675" s="2113"/>
      <c r="AM675" s="7382"/>
      <c r="AN675" s="7386"/>
      <c r="AO675" s="7518" t="s">
        <v>516</v>
      </c>
      <c r="AP675" s="7383"/>
      <c r="AQ675" s="7383"/>
      <c r="AR675" s="7383"/>
      <c r="AS675" s="7380"/>
      <c r="AT675" s="7380"/>
      <c r="AU675" s="7381"/>
      <c r="AV675" s="7380"/>
      <c r="AW675" s="7381"/>
      <c r="AX675" s="7380"/>
      <c r="AY675" s="7380"/>
      <c r="AZ675" s="7380"/>
      <c r="BA675" s="7380"/>
      <c r="BB675" s="7385"/>
      <c r="BC675" s="2260"/>
      <c r="BD675" s="1648"/>
      <c r="BE675" s="1630"/>
      <c r="BF675" s="1630"/>
      <c r="BG675" s="1630"/>
      <c r="BH675" s="1630"/>
      <c r="BI675" s="1641">
        <v>0</v>
      </c>
    </row>
    <row customHeight="1" ht="14.25">
      <c r="A676" s="1369"/>
      <c r="B676" s="1369"/>
      <c r="C676" s="1369"/>
      <c r="D676" s="1369"/>
      <c r="E676" s="2265"/>
      <c r="F676" s="2265"/>
      <c r="G676" s="2265"/>
      <c r="H676" s="2265"/>
      <c r="I676" s="2292"/>
      <c r="J676" s="2292"/>
      <c r="K676" s="2262" t="str">
        <f>S450&amp;".7"</f>
        <v>3.1.1.7</v>
      </c>
      <c r="L676" s="1375"/>
      <c r="M676" s="1782"/>
      <c r="N676" s="1782"/>
      <c r="O676" s="1782"/>
      <c r="P676" s="2380"/>
      <c r="Q676" s="2380"/>
      <c r="R676" s="2353"/>
      <c r="S676" s="2348"/>
      <c r="T676" s="2367"/>
      <c r="U676" s="306"/>
      <c r="V676" s="7380"/>
      <c r="W676" s="7381"/>
      <c r="X676" s="7380"/>
      <c r="Y676" s="7381"/>
      <c r="Z676" s="7380"/>
      <c r="AA676" s="7380"/>
      <c r="AB676" s="7380"/>
      <c r="AC676" s="7380"/>
      <c r="AD676" s="2192"/>
      <c r="AE676" s="2332"/>
      <c r="AF676" s="2443"/>
      <c r="AG676" s="3339" t="s">
        <v>28</v>
      </c>
      <c r="AH676" s="2113"/>
      <c r="AI676" s="7408"/>
      <c r="AJ676" s="7409"/>
      <c r="AK676" s="7519" t="s">
        <v>517</v>
      </c>
      <c r="AL676" s="7380"/>
      <c r="AM676" s="7380"/>
      <c r="AN676" s="7380"/>
      <c r="AO676" s="7380"/>
      <c r="AP676" s="7380"/>
      <c r="AQ676" s="7380"/>
      <c r="AR676" s="7380"/>
      <c r="AS676" s="7380"/>
      <c r="AT676" s="7380"/>
      <c r="AU676" s="7381"/>
      <c r="AV676" s="7380"/>
      <c r="AW676" s="7381"/>
      <c r="AX676" s="7380"/>
      <c r="AY676" s="7380"/>
      <c r="AZ676" s="7380"/>
      <c r="BA676" s="7380"/>
      <c r="BB676" s="7385"/>
      <c r="BC676" s="2260"/>
      <c r="BD676" s="1648"/>
      <c r="BE676" s="1630"/>
      <c r="BF676" s="1630"/>
      <c r="BG676" s="1630"/>
      <c r="BH676" s="1630"/>
      <c r="BI676" s="1641">
        <v>0</v>
      </c>
    </row>
    <row customHeight="1" ht="14.25">
      <c r="A677" s="1369"/>
      <c r="B677" s="1369"/>
      <c r="C677" s="1369"/>
      <c r="D677" s="1369"/>
      <c r="E677" s="2265"/>
      <c r="F677" s="2265"/>
      <c r="G677" s="2265"/>
      <c r="H677" s="2265"/>
      <c r="I677" s="2292"/>
      <c r="J677" s="2292"/>
      <c r="K677" s="2262" t="str">
        <f>S450&amp;".7"</f>
        <v>3.1.1.7</v>
      </c>
      <c r="L677" s="1375"/>
      <c r="M677" s="1782"/>
      <c r="N677" s="1782"/>
      <c r="O677" s="1782"/>
      <c r="P677" s="2380"/>
      <c r="Q677" s="2380"/>
      <c r="R677" s="2353"/>
      <c r="S677" s="2349"/>
      <c r="T677" s="2368"/>
      <c r="U677" s="306"/>
      <c r="V677" s="7380"/>
      <c r="W677" s="7520" t="str">
        <f>Z654&amp;"-"&amp;AB654</f>
        <v>-</v>
      </c>
      <c r="X677" s="7380"/>
      <c r="Y677" s="7521" t="str">
        <f>AB654&amp;"-"&amp;AD654</f>
        <v>-нет</v>
      </c>
      <c r="Z677" s="7380"/>
      <c r="AA677" s="7380"/>
      <c r="AB677" s="7380"/>
      <c r="AC677" s="7380"/>
      <c r="AD677" s="2118"/>
      <c r="AE677" s="7413"/>
      <c r="AF677" s="7414"/>
      <c r="AG677" s="7522" t="s">
        <v>518</v>
      </c>
      <c r="AH677" s="7380"/>
      <c r="AI677" s="7380"/>
      <c r="AJ677" s="7380"/>
      <c r="AK677" s="7380"/>
      <c r="AL677" s="7380"/>
      <c r="AM677" s="7380"/>
      <c r="AN677" s="7380"/>
      <c r="AO677" s="7380"/>
      <c r="AP677" s="7380"/>
      <c r="AQ677" s="7380"/>
      <c r="AR677" s="7380"/>
      <c r="AS677" s="7380"/>
      <c r="AT677" s="7380"/>
      <c r="AU677" s="7523" t="str">
        <f>AX654&amp;"-"&amp;AZ654</f>
        <v>46023.38711805556-46387.40184027778</v>
      </c>
      <c r="AV677" s="7380"/>
      <c r="AW677" s="7524" t="str">
        <f>AZ654&amp;"-"&amp;BB654</f>
        <v>46387.40184027778-</v>
      </c>
      <c r="AX677" s="7380"/>
      <c r="AY677" s="7380"/>
      <c r="AZ677" s="7380"/>
      <c r="BA677" s="7380"/>
      <c r="BB677" s="7525" t="str">
        <f>BE654&amp;"-"&amp;BG654</f>
        <v>-</v>
      </c>
      <c r="BC677" s="2260"/>
      <c r="BD677" s="1648"/>
      <c r="BE677" s="1630"/>
      <c r="BF677" s="1630" t="str">
        <f>IF(T677="","",T677)</f>
        <v/>
      </c>
      <c r="BG677" s="1630"/>
      <c r="BH677" s="1630"/>
      <c r="BI677" s="1641">
        <v>0</v>
      </c>
    </row>
    <row customHeight="1" ht="14.25">
      <c r="A678" s="1369"/>
      <c r="B678" s="1369"/>
      <c r="C678" s="1369"/>
      <c r="D678" s="1369"/>
      <c r="E678" s="2265"/>
      <c r="F678" s="2265"/>
      <c r="G678" s="2265"/>
      <c r="H678" s="2265"/>
      <c r="I678" s="2292"/>
      <c r="J678" s="2292"/>
      <c r="K678" s="2262" t="str">
        <f>S450&amp;".9"</f>
        <v>3.1.1.9</v>
      </c>
      <c r="L678" s="1375"/>
      <c r="M678" s="1782"/>
      <c r="N678" s="1782"/>
      <c r="O678" s="1782"/>
      <c r="P678" s="2380"/>
      <c r="Q678" s="2380"/>
      <c r="R678" s="689" t="s">
        <v>253</v>
      </c>
      <c r="S678" s="2347" t="str">
        <f>$K678</f>
        <v>3.1.1.9</v>
      </c>
      <c r="T678" s="2366" t="s">
        <v>546</v>
      </c>
      <c r="U678" s="306"/>
      <c r="V678" s="757"/>
      <c r="W678" s="1263"/>
      <c r="X678" s="757"/>
      <c r="Y678" s="1263"/>
      <c r="Z678" s="2608"/>
      <c r="AA678" s="2113" t="s">
        <v>62</v>
      </c>
      <c r="AB678" s="2608"/>
      <c r="AC678" s="2113" t="s">
        <v>62</v>
      </c>
      <c r="AD678" s="2191" t="s">
        <v>19</v>
      </c>
      <c r="AE678" s="2332"/>
      <c r="AF678" s="2443">
        <v>1</v>
      </c>
      <c r="AG678" s="3339" t="s">
        <v>28</v>
      </c>
      <c r="AH678" s="2113" t="s">
        <v>62</v>
      </c>
      <c r="AI678" s="2332"/>
      <c r="AJ678" s="2443">
        <v>1</v>
      </c>
      <c r="AK678" s="2333" t="s">
        <v>532</v>
      </c>
      <c r="AL678" s="2113" t="s">
        <v>19</v>
      </c>
      <c r="AM678" s="2300"/>
      <c r="AN678" s="2443">
        <v>1</v>
      </c>
      <c r="AO678" s="3340" t="s">
        <v>28</v>
      </c>
      <c r="AP678" s="2364" t="s">
        <v>62</v>
      </c>
      <c r="AQ678" s="317"/>
      <c r="AR678" s="2443">
        <v>1</v>
      </c>
      <c r="AS678" s="2582" t="s">
        <v>541</v>
      </c>
      <c r="AT678" s="757"/>
      <c r="AU678" s="1263"/>
      <c r="AV678" s="757"/>
      <c r="AW678" s="1263">
        <v>12819.46</v>
      </c>
      <c r="AX678" s="2608">
        <v>46023.38748842593</v>
      </c>
      <c r="AY678" s="2113" t="s">
        <v>62</v>
      </c>
      <c r="AZ678" s="2608">
        <v>46387.40278935185</v>
      </c>
      <c r="BA678" s="2113" t="s">
        <v>62</v>
      </c>
      <c r="BB678" s="1354"/>
      <c r="BC678" s="2259" t="s">
        <v>514</v>
      </c>
      <c r="BD678" s="1648"/>
      <c r="BE678" s="1630"/>
      <c r="BF678" s="1630" t="str">
        <f>IF(T678="","",T678)</f>
        <v>Прокладка трубопроводов водоснабжения в непроходных каналах с изоляцией минераловатными плитами и стеклопластиком, с работой на отвале, диаметр труб:</v>
      </c>
      <c r="BG678" s="1630"/>
      <c r="BH678" s="1630"/>
      <c r="BI678" s="1641">
        <v>0</v>
      </c>
    </row>
    <row customHeight="1" ht="14.25">
      <c r="A679" s="1369"/>
      <c r="B679" s="1369"/>
      <c r="C679" s="1369"/>
      <c r="D679" s="1369"/>
      <c r="E679" s="2265"/>
      <c r="F679" s="2265"/>
      <c r="G679" s="2265"/>
      <c r="H679" s="2265"/>
      <c r="I679" s="2292"/>
      <c r="J679" s="2292"/>
      <c r="K679" s="2262" t="str">
        <f>S675&amp;".1"</f>
        <v>.1</v>
      </c>
      <c r="L679" s="1375"/>
      <c r="M679" s="1782"/>
      <c r="N679" s="1782"/>
      <c r="O679" s="1782"/>
      <c r="P679" s="2380"/>
      <c r="Q679" s="2380"/>
      <c r="R679" s="2353">
        <v>1</v>
      </c>
      <c r="S679" s="2347" t="str">
        <f>$K679</f>
        <v>.1</v>
      </c>
      <c r="T679" s="2366"/>
      <c r="U679" s="306"/>
      <c r="V679" s="757"/>
      <c r="W679" s="1263"/>
      <c r="X679" s="757"/>
      <c r="Y679" s="1263"/>
      <c r="Z679" s="2608"/>
      <c r="AA679" s="2113" t="s">
        <v>62</v>
      </c>
      <c r="AB679" s="2608"/>
      <c r="AC679" s="2113" t="s">
        <v>62</v>
      </c>
      <c r="AD679" s="2191" t="s">
        <v>62</v>
      </c>
      <c r="AE679" s="2332"/>
      <c r="AF679" s="2443">
        <v>1</v>
      </c>
      <c r="AG679" s="2369"/>
      <c r="AH679" s="2113" t="s">
        <v>62</v>
      </c>
      <c r="AI679" s="2332"/>
      <c r="AJ679" s="2443">
        <v>1</v>
      </c>
      <c r="AK679" s="2333" t="s">
        <v>28</v>
      </c>
      <c r="AL679" s="2113" t="s">
        <v>62</v>
      </c>
      <c r="AM679" s="2300"/>
      <c r="AN679" s="2443">
        <v>1</v>
      </c>
      <c r="AO679" s="2363"/>
      <c r="AP679" s="2364" t="s">
        <v>62</v>
      </c>
      <c r="AQ679" s="689" t="s">
        <v>253</v>
      </c>
      <c r="AR679" s="2443" t="s">
        <v>112</v>
      </c>
      <c r="AS679" s="2582" t="s">
        <v>541</v>
      </c>
      <c r="AT679" s="757"/>
      <c r="AU679" s="1263"/>
      <c r="AV679" s="757"/>
      <c r="AW679" s="1263">
        <v>16586.99</v>
      </c>
      <c r="AX679" s="2608">
        <v>46023.38761574074</v>
      </c>
      <c r="AY679" s="2113" t="s">
        <v>62</v>
      </c>
      <c r="AZ679" s="2608">
        <v>46387.402916666666</v>
      </c>
      <c r="BA679" s="2113" t="s">
        <v>62</v>
      </c>
      <c r="BB679" s="1354"/>
      <c r="BC679" s="2259" t="s">
        <v>514</v>
      </c>
      <c r="BD679" s="1648"/>
      <c r="BE679" s="1630"/>
      <c r="BF679" s="1630" t="str">
        <f>IF(T679="","",T679)</f>
        <v/>
      </c>
      <c r="BG679" s="1630"/>
      <c r="BH679" s="1630"/>
      <c r="BI679" s="1641">
        <v>0</v>
      </c>
    </row>
    <row customHeight="1" ht="14.25">
      <c r="A680" s="1369"/>
      <c r="B680" s="1369"/>
      <c r="C680" s="1369"/>
      <c r="D680" s="1369"/>
      <c r="E680" s="2265"/>
      <c r="F680" s="2265"/>
      <c r="G680" s="2265"/>
      <c r="H680" s="2265"/>
      <c r="I680" s="2292"/>
      <c r="J680" s="2292"/>
      <c r="K680" s="2262" t="str">
        <f>S450&amp;".8"</f>
        <v>3.1.1.8</v>
      </c>
      <c r="L680" s="1375"/>
      <c r="M680" s="1782"/>
      <c r="N680" s="1782"/>
      <c r="O680" s="1782"/>
      <c r="P680" s="2380"/>
      <c r="Q680" s="2380"/>
      <c r="R680" s="2353"/>
      <c r="S680" s="2348"/>
      <c r="T680" s="2367"/>
      <c r="U680" s="306"/>
      <c r="V680" s="7380"/>
      <c r="W680" s="7381"/>
      <c r="X680" s="7380"/>
      <c r="Y680" s="7381"/>
      <c r="Z680" s="7380"/>
      <c r="AA680" s="7380"/>
      <c r="AB680" s="7380"/>
      <c r="AC680" s="7380"/>
      <c r="AD680" s="2192"/>
      <c r="AE680" s="2332"/>
      <c r="AF680" s="2443"/>
      <c r="AG680" s="3339" t="s">
        <v>28</v>
      </c>
      <c r="AH680" s="2113"/>
      <c r="AI680" s="2332"/>
      <c r="AJ680" s="2443"/>
      <c r="AK680" s="2333"/>
      <c r="AL680" s="2113"/>
      <c r="AM680" s="2301"/>
      <c r="AN680" s="2443"/>
      <c r="AO680" s="3340" t="s">
        <v>28</v>
      </c>
      <c r="AP680" s="2365"/>
      <c r="AQ680" s="7382"/>
      <c r="AR680" s="7383"/>
      <c r="AS680" s="7526" t="s">
        <v>515</v>
      </c>
      <c r="AT680" s="7380"/>
      <c r="AU680" s="7381"/>
      <c r="AV680" s="7380"/>
      <c r="AW680" s="7381"/>
      <c r="AX680" s="7380"/>
      <c r="AY680" s="7380"/>
      <c r="AZ680" s="7380"/>
      <c r="BA680" s="7380"/>
      <c r="BB680" s="7385"/>
      <c r="BC680" s="2260"/>
      <c r="BD680" s="1648"/>
      <c r="BE680" s="1630"/>
      <c r="BF680" s="1630"/>
      <c r="BG680" s="1630"/>
      <c r="BH680" s="1630"/>
      <c r="BI680" s="1641">
        <v>0</v>
      </c>
    </row>
    <row customHeight="1" ht="14.25">
      <c r="A681" s="1369"/>
      <c r="B681" s="1369"/>
      <c r="C681" s="1369"/>
      <c r="D681" s="1369"/>
      <c r="E681" s="2265"/>
      <c r="F681" s="2265"/>
      <c r="G681" s="2265"/>
      <c r="H681" s="2265"/>
      <c r="I681" s="2292"/>
      <c r="J681" s="2292"/>
      <c r="K681" s="2262" t="str">
        <f>S450&amp;".8"</f>
        <v>3.1.1.8</v>
      </c>
      <c r="L681" s="1375"/>
      <c r="M681" s="1782"/>
      <c r="N681" s="1782"/>
      <c r="O681" s="1782"/>
      <c r="P681" s="2380"/>
      <c r="Q681" s="2380"/>
      <c r="R681" s="2353"/>
      <c r="S681" s="2348"/>
      <c r="T681" s="2367"/>
      <c r="U681" s="306"/>
      <c r="V681" s="7380"/>
      <c r="W681" s="7381"/>
      <c r="X681" s="7380"/>
      <c r="Y681" s="7381"/>
      <c r="Z681" s="7380"/>
      <c r="AA681" s="7380"/>
      <c r="AB681" s="7380"/>
      <c r="AC681" s="7380"/>
      <c r="AD681" s="2192"/>
      <c r="AE681" s="2332"/>
      <c r="AF681" s="2443"/>
      <c r="AG681" s="3339" t="s">
        <v>28</v>
      </c>
      <c r="AH681" s="2113"/>
      <c r="AI681" s="2332"/>
      <c r="AJ681" s="2443"/>
      <c r="AK681" s="2333"/>
      <c r="AL681" s="2113"/>
      <c r="AM681" s="7382"/>
      <c r="AN681" s="7386"/>
      <c r="AO681" s="7527" t="s">
        <v>516</v>
      </c>
      <c r="AP681" s="7383"/>
      <c r="AQ681" s="7383"/>
      <c r="AR681" s="7383"/>
      <c r="AS681" s="7380"/>
      <c r="AT681" s="7380"/>
      <c r="AU681" s="7381"/>
      <c r="AV681" s="7380"/>
      <c r="AW681" s="7381"/>
      <c r="AX681" s="7380"/>
      <c r="AY681" s="7380"/>
      <c r="AZ681" s="7380"/>
      <c r="BA681" s="7380"/>
      <c r="BB681" s="7385"/>
      <c r="BC681" s="2260"/>
      <c r="BD681" s="1648"/>
      <c r="BE681" s="1630"/>
      <c r="BF681" s="1630"/>
      <c r="BG681" s="1630"/>
      <c r="BH681" s="1630"/>
      <c r="BI681" s="1641">
        <v>0</v>
      </c>
    </row>
    <row customHeight="1" ht="14.25">
      <c r="A682" s="1369"/>
      <c r="B682" s="1369"/>
      <c r="C682" s="1369"/>
      <c r="D682" s="1369"/>
      <c r="E682" s="2265"/>
      <c r="F682" s="2265"/>
      <c r="G682" s="2265"/>
      <c r="H682" s="2265"/>
      <c r="I682" s="2292"/>
      <c r="J682" s="2292"/>
      <c r="K682" s="2262" t="str">
        <f>S677&amp;".1"</f>
        <v>.1</v>
      </c>
      <c r="L682" s="1375"/>
      <c r="M682" s="1782"/>
      <c r="N682" s="1782"/>
      <c r="O682" s="1782"/>
      <c r="P682" s="2380"/>
      <c r="Q682" s="2380"/>
      <c r="R682" s="2353">
        <v>1</v>
      </c>
      <c r="S682" s="2347" t="str">
        <f>$K682</f>
        <v>.1</v>
      </c>
      <c r="T682" s="2366"/>
      <c r="U682" s="306"/>
      <c r="V682" s="757"/>
      <c r="W682" s="1263"/>
      <c r="X682" s="757"/>
      <c r="Y682" s="1263"/>
      <c r="Z682" s="2608"/>
      <c r="AA682" s="2113" t="s">
        <v>62</v>
      </c>
      <c r="AB682" s="2608"/>
      <c r="AC682" s="2113" t="s">
        <v>62</v>
      </c>
      <c r="AD682" s="2191" t="s">
        <v>62</v>
      </c>
      <c r="AE682" s="2332"/>
      <c r="AF682" s="2443">
        <v>1</v>
      </c>
      <c r="AG682" s="2369"/>
      <c r="AH682" s="2113" t="s">
        <v>62</v>
      </c>
      <c r="AI682" s="689" t="s">
        <v>253</v>
      </c>
      <c r="AJ682" s="2443" t="s">
        <v>112</v>
      </c>
      <c r="AK682" s="2333" t="s">
        <v>533</v>
      </c>
      <c r="AL682" s="2113" t="s">
        <v>19</v>
      </c>
      <c r="AM682" s="2300"/>
      <c r="AN682" s="2443">
        <v>1</v>
      </c>
      <c r="AO682" s="3340" t="s">
        <v>28</v>
      </c>
      <c r="AP682" s="2364" t="s">
        <v>62</v>
      </c>
      <c r="AQ682" s="317"/>
      <c r="AR682" s="2443">
        <v>1</v>
      </c>
      <c r="AS682" s="2582" t="s">
        <v>541</v>
      </c>
      <c r="AT682" s="757"/>
      <c r="AU682" s="1263"/>
      <c r="AV682" s="757"/>
      <c r="AW682" s="1263">
        <v>18481.86</v>
      </c>
      <c r="AX682" s="2608">
        <v>46023.387650462966</v>
      </c>
      <c r="AY682" s="2113" t="s">
        <v>62</v>
      </c>
      <c r="AZ682" s="2608">
        <v>46387.40299768518</v>
      </c>
      <c r="BA682" s="2113" t="s">
        <v>62</v>
      </c>
      <c r="BB682" s="1354"/>
      <c r="BC682" s="2259" t="s">
        <v>514</v>
      </c>
      <c r="BD682" s="1648"/>
      <c r="BE682" s="1630"/>
      <c r="BF682" s="1630" t="str">
        <f>IF(T682="","",T682)</f>
        <v/>
      </c>
      <c r="BG682" s="1630"/>
      <c r="BH682" s="1630"/>
      <c r="BI682" s="1641">
        <v>0</v>
      </c>
    </row>
    <row customHeight="1" ht="14.25">
      <c r="A683" s="1369"/>
      <c r="B683" s="1369"/>
      <c r="C683" s="1369"/>
      <c r="D683" s="1369"/>
      <c r="E683" s="2265"/>
      <c r="F683" s="2265"/>
      <c r="G683" s="2265"/>
      <c r="H683" s="2265"/>
      <c r="I683" s="2292"/>
      <c r="J683" s="2292"/>
      <c r="K683" s="2262" t="str">
        <f>S679&amp;".1"</f>
        <v>.1.1</v>
      </c>
      <c r="L683" s="1375"/>
      <c r="M683" s="1782"/>
      <c r="N683" s="1782"/>
      <c r="O683" s="1782"/>
      <c r="P683" s="2380"/>
      <c r="Q683" s="2380"/>
      <c r="R683" s="2353">
        <v>1</v>
      </c>
      <c r="S683" s="2347" t="str">
        <f>$K683</f>
        <v>.1.1</v>
      </c>
      <c r="T683" s="2366"/>
      <c r="U683" s="306"/>
      <c r="V683" s="757"/>
      <c r="W683" s="1263"/>
      <c r="X683" s="757"/>
      <c r="Y683" s="1263"/>
      <c r="Z683" s="2608"/>
      <c r="AA683" s="2113" t="s">
        <v>62</v>
      </c>
      <c r="AB683" s="2608"/>
      <c r="AC683" s="2113" t="s">
        <v>62</v>
      </c>
      <c r="AD683" s="2191" t="s">
        <v>62</v>
      </c>
      <c r="AE683" s="2332"/>
      <c r="AF683" s="2443">
        <v>1</v>
      </c>
      <c r="AG683" s="2369"/>
      <c r="AH683" s="2113" t="s">
        <v>62</v>
      </c>
      <c r="AI683" s="2332"/>
      <c r="AJ683" s="2443">
        <v>1</v>
      </c>
      <c r="AK683" s="2333" t="s">
        <v>28</v>
      </c>
      <c r="AL683" s="2113" t="s">
        <v>62</v>
      </c>
      <c r="AM683" s="2300"/>
      <c r="AN683" s="2443">
        <v>1</v>
      </c>
      <c r="AO683" s="3340" t="s">
        <v>28</v>
      </c>
      <c r="AP683" s="2364" t="s">
        <v>62</v>
      </c>
      <c r="AQ683" s="689" t="s">
        <v>253</v>
      </c>
      <c r="AR683" s="2443" t="s">
        <v>112</v>
      </c>
      <c r="AS683" s="2582" t="s">
        <v>541</v>
      </c>
      <c r="AT683" s="757"/>
      <c r="AU683" s="1263"/>
      <c r="AV683" s="757"/>
      <c r="AW683" s="1263">
        <v>22542.69</v>
      </c>
      <c r="AX683" s="2608">
        <v>46023.38767361111</v>
      </c>
      <c r="AY683" s="2113" t="s">
        <v>62</v>
      </c>
      <c r="AZ683" s="2608">
        <v>46387.40306712963</v>
      </c>
      <c r="BA683" s="2113" t="s">
        <v>62</v>
      </c>
      <c r="BB683" s="1354"/>
      <c r="BC683" s="2259" t="s">
        <v>514</v>
      </c>
      <c r="BD683" s="1648"/>
      <c r="BE683" s="1630"/>
      <c r="BF683" s="1630" t="str">
        <f>IF(T683="","",T683)</f>
        <v/>
      </c>
      <c r="BG683" s="1630"/>
      <c r="BH683" s="1630"/>
      <c r="BI683" s="1641">
        <v>0</v>
      </c>
    </row>
    <row customHeight="1" ht="14.25">
      <c r="A684" s="1369"/>
      <c r="B684" s="1369"/>
      <c r="C684" s="1369"/>
      <c r="D684" s="1369"/>
      <c r="E684" s="2265"/>
      <c r="F684" s="2265"/>
      <c r="G684" s="2265"/>
      <c r="H684" s="2265"/>
      <c r="I684" s="2292"/>
      <c r="J684" s="2292"/>
      <c r="K684" s="2262"/>
      <c r="L684" s="1375"/>
      <c r="M684" s="1782"/>
      <c r="N684" s="1782"/>
      <c r="O684" s="1782"/>
      <c r="P684" s="2380"/>
      <c r="Q684" s="2380"/>
      <c r="R684" s="2353"/>
      <c r="S684" s="2348"/>
      <c r="T684" s="2367"/>
      <c r="U684" s="306"/>
      <c r="V684" s="7380"/>
      <c r="W684" s="7381"/>
      <c r="X684" s="7380"/>
      <c r="Y684" s="7381"/>
      <c r="Z684" s="7380"/>
      <c r="AA684" s="7380"/>
      <c r="AB684" s="7380"/>
      <c r="AC684" s="7380"/>
      <c r="AD684" s="2192"/>
      <c r="AE684" s="2332"/>
      <c r="AF684" s="2443"/>
      <c r="AG684" s="2369"/>
      <c r="AH684" s="2113"/>
      <c r="AI684" s="2332"/>
      <c r="AJ684" s="2443">
        <v>1</v>
      </c>
      <c r="AK684" s="2333"/>
      <c r="AL684" s="2113"/>
      <c r="AM684" s="2301"/>
      <c r="AN684" s="2443"/>
      <c r="AO684" s="3340" t="s">
        <v>28</v>
      </c>
      <c r="AP684" s="2365"/>
      <c r="AQ684" s="7382"/>
      <c r="AR684" s="7383"/>
      <c r="AS684" s="7528" t="s">
        <v>515</v>
      </c>
      <c r="AT684" s="7380"/>
      <c r="AU684" s="7381"/>
      <c r="AV684" s="7380"/>
      <c r="AW684" s="7381"/>
      <c r="AX684" s="7380"/>
      <c r="AY684" s="7380"/>
      <c r="AZ684" s="7380"/>
      <c r="BA684" s="7380"/>
      <c r="BB684" s="7385"/>
      <c r="BC684" s="2260"/>
      <c r="BD684" s="1648"/>
      <c r="BE684" s="1630"/>
      <c r="BF684" s="1630"/>
      <c r="BG684" s="1630"/>
      <c r="BH684" s="1630"/>
      <c r="BI684" s="1641">
        <v>0</v>
      </c>
    </row>
    <row customHeight="1" ht="14.25">
      <c r="A685" s="1369"/>
      <c r="B685" s="1369"/>
      <c r="C685" s="1369"/>
      <c r="D685" s="1369"/>
      <c r="E685" s="2265"/>
      <c r="F685" s="2265"/>
      <c r="G685" s="2265"/>
      <c r="H685" s="2265"/>
      <c r="I685" s="2292"/>
      <c r="J685" s="2292"/>
      <c r="K685" s="2262"/>
      <c r="L685" s="1375"/>
      <c r="M685" s="1782"/>
      <c r="N685" s="1782"/>
      <c r="O685" s="1782"/>
      <c r="P685" s="2380"/>
      <c r="Q685" s="2380"/>
      <c r="R685" s="2353"/>
      <c r="S685" s="2348"/>
      <c r="T685" s="2367"/>
      <c r="U685" s="306"/>
      <c r="V685" s="7380"/>
      <c r="W685" s="7381"/>
      <c r="X685" s="7380"/>
      <c r="Y685" s="7381"/>
      <c r="Z685" s="7380"/>
      <c r="AA685" s="7380"/>
      <c r="AB685" s="7380"/>
      <c r="AC685" s="7380"/>
      <c r="AD685" s="2192"/>
      <c r="AE685" s="2332"/>
      <c r="AF685" s="2443"/>
      <c r="AG685" s="2369"/>
      <c r="AH685" s="2113"/>
      <c r="AI685" s="2332"/>
      <c r="AJ685" s="2443">
        <v>1</v>
      </c>
      <c r="AK685" s="2333"/>
      <c r="AL685" s="2113"/>
      <c r="AM685" s="7382"/>
      <c r="AN685" s="7386"/>
      <c r="AO685" s="7529" t="s">
        <v>516</v>
      </c>
      <c r="AP685" s="7383"/>
      <c r="AQ685" s="7383"/>
      <c r="AR685" s="7383"/>
      <c r="AS685" s="7380"/>
      <c r="AT685" s="7380"/>
      <c r="AU685" s="7381"/>
      <c r="AV685" s="7380"/>
      <c r="AW685" s="7381"/>
      <c r="AX685" s="7380"/>
      <c r="AY685" s="7380"/>
      <c r="AZ685" s="7380"/>
      <c r="BA685" s="7380"/>
      <c r="BB685" s="7385"/>
      <c r="BC685" s="2260"/>
      <c r="BD685" s="1648"/>
      <c r="BE685" s="1630"/>
      <c r="BF685" s="1630"/>
      <c r="BG685" s="1630"/>
      <c r="BH685" s="1630"/>
      <c r="BI685" s="1641">
        <v>0</v>
      </c>
    </row>
    <row customHeight="1" ht="14.25">
      <c r="A686" s="1369"/>
      <c r="B686" s="1369"/>
      <c r="C686" s="1369"/>
      <c r="D686" s="1369"/>
      <c r="E686" s="2265"/>
      <c r="F686" s="2265"/>
      <c r="G686" s="2265"/>
      <c r="H686" s="2265"/>
      <c r="I686" s="2292"/>
      <c r="J686" s="2292"/>
      <c r="K686" s="2262" t="str">
        <f>S681&amp;".1"</f>
        <v>.1</v>
      </c>
      <c r="L686" s="1375"/>
      <c r="M686" s="1782"/>
      <c r="N686" s="1782"/>
      <c r="O686" s="1782"/>
      <c r="P686" s="2380"/>
      <c r="Q686" s="2380"/>
      <c r="R686" s="2353">
        <v>1</v>
      </c>
      <c r="S686" s="2347" t="str">
        <f>$K686</f>
        <v>.1</v>
      </c>
      <c r="T686" s="2366"/>
      <c r="U686" s="306"/>
      <c r="V686" s="757"/>
      <c r="W686" s="1263"/>
      <c r="X686" s="757"/>
      <c r="Y686" s="1263"/>
      <c r="Z686" s="2608"/>
      <c r="AA686" s="2113" t="s">
        <v>62</v>
      </c>
      <c r="AB686" s="2608"/>
      <c r="AC686" s="2113" t="s">
        <v>62</v>
      </c>
      <c r="AD686" s="2191" t="s">
        <v>62</v>
      </c>
      <c r="AE686" s="2332"/>
      <c r="AF686" s="2443">
        <v>1</v>
      </c>
      <c r="AG686" s="2369"/>
      <c r="AH686" s="2113" t="s">
        <v>62</v>
      </c>
      <c r="AI686" s="689" t="s">
        <v>253</v>
      </c>
      <c r="AJ686" s="2443" t="s">
        <v>91</v>
      </c>
      <c r="AK686" s="2333" t="s">
        <v>534</v>
      </c>
      <c r="AL686" s="2113" t="s">
        <v>19</v>
      </c>
      <c r="AM686" s="2300"/>
      <c r="AN686" s="2443">
        <v>1</v>
      </c>
      <c r="AO686" s="3340" t="s">
        <v>28</v>
      </c>
      <c r="AP686" s="2364" t="s">
        <v>62</v>
      </c>
      <c r="AQ686" s="317"/>
      <c r="AR686" s="2443">
        <v>1</v>
      </c>
      <c r="AS686" s="2582" t="s">
        <v>541</v>
      </c>
      <c r="AT686" s="757"/>
      <c r="AU686" s="1263"/>
      <c r="AV686" s="757"/>
      <c r="AW686" s="1263">
        <v>25409.18</v>
      </c>
      <c r="AX686" s="2608">
        <v>46023.387719907405</v>
      </c>
      <c r="AY686" s="2113" t="s">
        <v>62</v>
      </c>
      <c r="AZ686" s="2608">
        <v>46387.403136574074</v>
      </c>
      <c r="BA686" s="2113" t="s">
        <v>62</v>
      </c>
      <c r="BB686" s="1354"/>
      <c r="BC686" s="2259" t="s">
        <v>514</v>
      </c>
      <c r="BD686" s="1648"/>
      <c r="BE686" s="1630"/>
      <c r="BF686" s="1630" t="str">
        <f>IF(T686="","",T686)</f>
        <v/>
      </c>
      <c r="BG686" s="1630"/>
      <c r="BH686" s="1630"/>
      <c r="BI686" s="1641">
        <v>0</v>
      </c>
    </row>
    <row customHeight="1" ht="14.25">
      <c r="A687" s="1369"/>
      <c r="B687" s="1369"/>
      <c r="C687" s="1369"/>
      <c r="D687" s="1369"/>
      <c r="E687" s="2265"/>
      <c r="F687" s="2265"/>
      <c r="G687" s="2265"/>
      <c r="H687" s="2265"/>
      <c r="I687" s="2292"/>
      <c r="J687" s="2292"/>
      <c r="K687" s="2262" t="str">
        <f>S683&amp;".1"</f>
        <v>.1.1.1</v>
      </c>
      <c r="L687" s="1375"/>
      <c r="M687" s="1782"/>
      <c r="N687" s="1782"/>
      <c r="O687" s="1782"/>
      <c r="P687" s="2380"/>
      <c r="Q687" s="2380"/>
      <c r="R687" s="2353">
        <v>1</v>
      </c>
      <c r="S687" s="2347" t="str">
        <f>$K687</f>
        <v>.1.1.1</v>
      </c>
      <c r="T687" s="2366"/>
      <c r="U687" s="306"/>
      <c r="V687" s="757"/>
      <c r="W687" s="1263"/>
      <c r="X687" s="757"/>
      <c r="Y687" s="1263"/>
      <c r="Z687" s="2608"/>
      <c r="AA687" s="2113" t="s">
        <v>62</v>
      </c>
      <c r="AB687" s="2608"/>
      <c r="AC687" s="2113" t="s">
        <v>62</v>
      </c>
      <c r="AD687" s="2191" t="s">
        <v>62</v>
      </c>
      <c r="AE687" s="2332"/>
      <c r="AF687" s="2443">
        <v>1</v>
      </c>
      <c r="AG687" s="2369"/>
      <c r="AH687" s="2113" t="s">
        <v>62</v>
      </c>
      <c r="AI687" s="2332"/>
      <c r="AJ687" s="2443">
        <v>1</v>
      </c>
      <c r="AK687" s="2333" t="s">
        <v>28</v>
      </c>
      <c r="AL687" s="2113" t="s">
        <v>62</v>
      </c>
      <c r="AM687" s="2300"/>
      <c r="AN687" s="2443">
        <v>1</v>
      </c>
      <c r="AO687" s="3340" t="s">
        <v>28</v>
      </c>
      <c r="AP687" s="2364" t="s">
        <v>62</v>
      </c>
      <c r="AQ687" s="689" t="s">
        <v>253</v>
      </c>
      <c r="AR687" s="2443" t="s">
        <v>112</v>
      </c>
      <c r="AS687" s="2582" t="s">
        <v>541</v>
      </c>
      <c r="AT687" s="757"/>
      <c r="AU687" s="1263"/>
      <c r="AV687" s="757"/>
      <c r="AW687" s="1263">
        <v>26450.11</v>
      </c>
      <c r="AX687" s="2608">
        <v>46023.38775462963</v>
      </c>
      <c r="AY687" s="2113" t="s">
        <v>62</v>
      </c>
      <c r="AZ687" s="2608">
        <v>46387.40321759259</v>
      </c>
      <c r="BA687" s="2113" t="s">
        <v>62</v>
      </c>
      <c r="BB687" s="1354"/>
      <c r="BC687" s="2259" t="s">
        <v>514</v>
      </c>
      <c r="BD687" s="1648"/>
      <c r="BE687" s="1630"/>
      <c r="BF687" s="1630" t="str">
        <f>IF(T687="","",T687)</f>
        <v/>
      </c>
      <c r="BG687" s="1630"/>
      <c r="BH687" s="1630"/>
      <c r="BI687" s="1641">
        <v>0</v>
      </c>
    </row>
    <row customHeight="1" ht="14.25">
      <c r="A688" s="1369"/>
      <c r="B688" s="1369"/>
      <c r="C688" s="1369"/>
      <c r="D688" s="1369"/>
      <c r="E688" s="2265"/>
      <c r="F688" s="2265"/>
      <c r="G688" s="2265"/>
      <c r="H688" s="2265"/>
      <c r="I688" s="2292"/>
      <c r="J688" s="2292"/>
      <c r="K688" s="2262"/>
      <c r="L688" s="1375"/>
      <c r="M688" s="1782"/>
      <c r="N688" s="1782"/>
      <c r="O688" s="1782"/>
      <c r="P688" s="2380"/>
      <c r="Q688" s="2380"/>
      <c r="R688" s="2353"/>
      <c r="S688" s="2348"/>
      <c r="T688" s="2367"/>
      <c r="U688" s="306"/>
      <c r="V688" s="7380"/>
      <c r="W688" s="7381"/>
      <c r="X688" s="7380"/>
      <c r="Y688" s="7381"/>
      <c r="Z688" s="7380"/>
      <c r="AA688" s="7380"/>
      <c r="AB688" s="7380"/>
      <c r="AC688" s="7380"/>
      <c r="AD688" s="2192"/>
      <c r="AE688" s="2332"/>
      <c r="AF688" s="2443"/>
      <c r="AG688" s="2369"/>
      <c r="AH688" s="2113"/>
      <c r="AI688" s="2332"/>
      <c r="AJ688" s="2443" t="s">
        <v>112</v>
      </c>
      <c r="AK688" s="2333"/>
      <c r="AL688" s="2113"/>
      <c r="AM688" s="2301"/>
      <c r="AN688" s="2443"/>
      <c r="AO688" s="3340" t="s">
        <v>28</v>
      </c>
      <c r="AP688" s="2365"/>
      <c r="AQ688" s="7382"/>
      <c r="AR688" s="7383"/>
      <c r="AS688" s="7530" t="s">
        <v>515</v>
      </c>
      <c r="AT688" s="7380"/>
      <c r="AU688" s="7381"/>
      <c r="AV688" s="7380"/>
      <c r="AW688" s="7381"/>
      <c r="AX688" s="7380"/>
      <c r="AY688" s="7380"/>
      <c r="AZ688" s="7380"/>
      <c r="BA688" s="7380"/>
      <c r="BB688" s="7385"/>
      <c r="BC688" s="2260"/>
      <c r="BD688" s="1648"/>
      <c r="BE688" s="1630"/>
      <c r="BF688" s="1630"/>
      <c r="BG688" s="1630"/>
      <c r="BH688" s="1630"/>
      <c r="BI688" s="1641">
        <v>0</v>
      </c>
    </row>
    <row customHeight="1" ht="14.25">
      <c r="A689" s="1369"/>
      <c r="B689" s="1369"/>
      <c r="C689" s="1369"/>
      <c r="D689" s="1369"/>
      <c r="E689" s="2265"/>
      <c r="F689" s="2265"/>
      <c r="G689" s="2265"/>
      <c r="H689" s="2265"/>
      <c r="I689" s="2292"/>
      <c r="J689" s="2292"/>
      <c r="K689" s="2262"/>
      <c r="L689" s="1375"/>
      <c r="M689" s="1782"/>
      <c r="N689" s="1782"/>
      <c r="O689" s="1782"/>
      <c r="P689" s="2380"/>
      <c r="Q689" s="2380"/>
      <c r="R689" s="2353"/>
      <c r="S689" s="2348"/>
      <c r="T689" s="2367"/>
      <c r="U689" s="306"/>
      <c r="V689" s="7380"/>
      <c r="W689" s="7381"/>
      <c r="X689" s="7380"/>
      <c r="Y689" s="7381"/>
      <c r="Z689" s="7380"/>
      <c r="AA689" s="7380"/>
      <c r="AB689" s="7380"/>
      <c r="AC689" s="7380"/>
      <c r="AD689" s="2192"/>
      <c r="AE689" s="2332"/>
      <c r="AF689" s="2443"/>
      <c r="AG689" s="2369"/>
      <c r="AH689" s="2113"/>
      <c r="AI689" s="2332"/>
      <c r="AJ689" s="2443" t="s">
        <v>112</v>
      </c>
      <c r="AK689" s="2333"/>
      <c r="AL689" s="2113"/>
      <c r="AM689" s="7382"/>
      <c r="AN689" s="7386"/>
      <c r="AO689" s="7531" t="s">
        <v>516</v>
      </c>
      <c r="AP689" s="7383"/>
      <c r="AQ689" s="7383"/>
      <c r="AR689" s="7383"/>
      <c r="AS689" s="7380"/>
      <c r="AT689" s="7380"/>
      <c r="AU689" s="7381"/>
      <c r="AV689" s="7380"/>
      <c r="AW689" s="7381"/>
      <c r="AX689" s="7380"/>
      <c r="AY689" s="7380"/>
      <c r="AZ689" s="7380"/>
      <c r="BA689" s="7380"/>
      <c r="BB689" s="7385"/>
      <c r="BC689" s="2260"/>
      <c r="BD689" s="1648"/>
      <c r="BE689" s="1630"/>
      <c r="BF689" s="1630"/>
      <c r="BG689" s="1630"/>
      <c r="BH689" s="1630"/>
      <c r="BI689" s="1641">
        <v>0</v>
      </c>
    </row>
    <row customHeight="1" ht="14.25">
      <c r="A690" s="1369"/>
      <c r="B690" s="1369"/>
      <c r="C690" s="1369"/>
      <c r="D690" s="1369"/>
      <c r="E690" s="2265"/>
      <c r="F690" s="2265"/>
      <c r="G690" s="2265"/>
      <c r="H690" s="2265"/>
      <c r="I690" s="2292"/>
      <c r="J690" s="2292"/>
      <c r="K690" s="2262" t="str">
        <f>S685&amp;".1"</f>
        <v>.1</v>
      </c>
      <c r="L690" s="1375"/>
      <c r="M690" s="1782"/>
      <c r="N690" s="1782"/>
      <c r="O690" s="1782"/>
      <c r="P690" s="2380"/>
      <c r="Q690" s="2380"/>
      <c r="R690" s="2353">
        <v>1</v>
      </c>
      <c r="S690" s="2347" t="str">
        <f>$K690</f>
        <v>.1</v>
      </c>
      <c r="T690" s="2366"/>
      <c r="U690" s="306"/>
      <c r="V690" s="757"/>
      <c r="W690" s="1263"/>
      <c r="X690" s="757"/>
      <c r="Y690" s="1263"/>
      <c r="Z690" s="2608"/>
      <c r="AA690" s="2113" t="s">
        <v>62</v>
      </c>
      <c r="AB690" s="2608"/>
      <c r="AC690" s="2113" t="s">
        <v>62</v>
      </c>
      <c r="AD690" s="2191" t="s">
        <v>62</v>
      </c>
      <c r="AE690" s="2332"/>
      <c r="AF690" s="2443">
        <v>1</v>
      </c>
      <c r="AG690" s="2369"/>
      <c r="AH690" s="2113" t="s">
        <v>62</v>
      </c>
      <c r="AI690" s="689" t="s">
        <v>253</v>
      </c>
      <c r="AJ690" s="2443" t="s">
        <v>92</v>
      </c>
      <c r="AK690" s="2333" t="s">
        <v>535</v>
      </c>
      <c r="AL690" s="2113" t="s">
        <v>19</v>
      </c>
      <c r="AM690" s="2300"/>
      <c r="AN690" s="2443">
        <v>1</v>
      </c>
      <c r="AO690" s="3340" t="s">
        <v>28</v>
      </c>
      <c r="AP690" s="2364" t="s">
        <v>62</v>
      </c>
      <c r="AQ690" s="317"/>
      <c r="AR690" s="2443">
        <v>1</v>
      </c>
      <c r="AS690" s="2582" t="s">
        <v>541</v>
      </c>
      <c r="AT690" s="757"/>
      <c r="AU690" s="1263"/>
      <c r="AV690" s="757"/>
      <c r="AW690" s="1263">
        <v>34552.63</v>
      </c>
      <c r="AX690" s="2608">
        <v>46023.38778935185</v>
      </c>
      <c r="AY690" s="2113" t="s">
        <v>62</v>
      </c>
      <c r="AZ690" s="2608">
        <v>46387.40331018518</v>
      </c>
      <c r="BA690" s="2113" t="s">
        <v>62</v>
      </c>
      <c r="BB690" s="1354"/>
      <c r="BC690" s="2259" t="s">
        <v>514</v>
      </c>
      <c r="BD690" s="1648"/>
      <c r="BE690" s="1630"/>
      <c r="BF690" s="1630" t="str">
        <f>IF(T690="","",T690)</f>
        <v/>
      </c>
      <c r="BG690" s="1630"/>
      <c r="BH690" s="1630"/>
      <c r="BI690" s="1641">
        <v>0</v>
      </c>
    </row>
    <row customHeight="1" ht="14.25">
      <c r="A691" s="1369"/>
      <c r="B691" s="1369"/>
      <c r="C691" s="1369"/>
      <c r="D691" s="1369"/>
      <c r="E691" s="2265"/>
      <c r="F691" s="2265"/>
      <c r="G691" s="2265"/>
      <c r="H691" s="2265"/>
      <c r="I691" s="2292"/>
      <c r="J691" s="2292"/>
      <c r="K691" s="2262" t="str">
        <f>S687&amp;".1"</f>
        <v>.1.1.1.1</v>
      </c>
      <c r="L691" s="1375"/>
      <c r="M691" s="1782"/>
      <c r="N691" s="1782"/>
      <c r="O691" s="1782"/>
      <c r="P691" s="2380"/>
      <c r="Q691" s="2380"/>
      <c r="R691" s="2353">
        <v>1</v>
      </c>
      <c r="S691" s="2347" t="str">
        <f>$K691</f>
        <v>.1.1.1.1</v>
      </c>
      <c r="T691" s="2366"/>
      <c r="U691" s="306"/>
      <c r="V691" s="757"/>
      <c r="W691" s="1263"/>
      <c r="X691" s="757"/>
      <c r="Y691" s="1263"/>
      <c r="Z691" s="2608"/>
      <c r="AA691" s="2113" t="s">
        <v>62</v>
      </c>
      <c r="AB691" s="2608"/>
      <c r="AC691" s="2113" t="s">
        <v>62</v>
      </c>
      <c r="AD691" s="2191" t="s">
        <v>62</v>
      </c>
      <c r="AE691" s="2332"/>
      <c r="AF691" s="2443">
        <v>1</v>
      </c>
      <c r="AG691" s="2369"/>
      <c r="AH691" s="2113" t="s">
        <v>62</v>
      </c>
      <c r="AI691" s="2332"/>
      <c r="AJ691" s="2443">
        <v>1</v>
      </c>
      <c r="AK691" s="2333" t="s">
        <v>28</v>
      </c>
      <c r="AL691" s="2113" t="s">
        <v>62</v>
      </c>
      <c r="AM691" s="2300"/>
      <c r="AN691" s="2443">
        <v>1</v>
      </c>
      <c r="AO691" s="3340" t="s">
        <v>28</v>
      </c>
      <c r="AP691" s="2364" t="s">
        <v>62</v>
      </c>
      <c r="AQ691" s="689" t="s">
        <v>253</v>
      </c>
      <c r="AR691" s="2443" t="s">
        <v>112</v>
      </c>
      <c r="AS691" s="2582" t="s">
        <v>541</v>
      </c>
      <c r="AT691" s="757"/>
      <c r="AU691" s="1263"/>
      <c r="AV691" s="757"/>
      <c r="AW691" s="1263">
        <v>36786.94</v>
      </c>
      <c r="AX691" s="2608">
        <v>46023.387824074074</v>
      </c>
      <c r="AY691" s="2113" t="s">
        <v>62</v>
      </c>
      <c r="AZ691" s="2608">
        <v>46387.403402777774</v>
      </c>
      <c r="BA691" s="2113" t="s">
        <v>62</v>
      </c>
      <c r="BB691" s="1354"/>
      <c r="BC691" s="2259" t="s">
        <v>514</v>
      </c>
      <c r="BD691" s="1648"/>
      <c r="BE691" s="1630"/>
      <c r="BF691" s="1630" t="str">
        <f>IF(T691="","",T691)</f>
        <v/>
      </c>
      <c r="BG691" s="1630"/>
      <c r="BH691" s="1630"/>
      <c r="BI691" s="1641">
        <v>0</v>
      </c>
    </row>
    <row customHeight="1" ht="14.25">
      <c r="A692" s="1369"/>
      <c r="B692" s="1369"/>
      <c r="C692" s="1369"/>
      <c r="D692" s="1369"/>
      <c r="E692" s="2265"/>
      <c r="F692" s="2265"/>
      <c r="G692" s="2265"/>
      <c r="H692" s="2265"/>
      <c r="I692" s="2292"/>
      <c r="J692" s="2292"/>
      <c r="K692" s="2262"/>
      <c r="L692" s="1375"/>
      <c r="M692" s="1782"/>
      <c r="N692" s="1782"/>
      <c r="O692" s="1782"/>
      <c r="P692" s="2380"/>
      <c r="Q692" s="2380"/>
      <c r="R692" s="2353"/>
      <c r="S692" s="2348"/>
      <c r="T692" s="2367"/>
      <c r="U692" s="306"/>
      <c r="V692" s="7380"/>
      <c r="W692" s="7381"/>
      <c r="X692" s="7380"/>
      <c r="Y692" s="7381"/>
      <c r="Z692" s="7380"/>
      <c r="AA692" s="7380"/>
      <c r="AB692" s="7380"/>
      <c r="AC692" s="7380"/>
      <c r="AD692" s="2192"/>
      <c r="AE692" s="2332"/>
      <c r="AF692" s="2443"/>
      <c r="AG692" s="2369"/>
      <c r="AH692" s="2113"/>
      <c r="AI692" s="2332"/>
      <c r="AJ692" s="2443" t="s">
        <v>91</v>
      </c>
      <c r="AK692" s="2333"/>
      <c r="AL692" s="2113"/>
      <c r="AM692" s="2301"/>
      <c r="AN692" s="2443"/>
      <c r="AO692" s="3340" t="s">
        <v>28</v>
      </c>
      <c r="AP692" s="2365"/>
      <c r="AQ692" s="7382"/>
      <c r="AR692" s="7383"/>
      <c r="AS692" s="7532" t="s">
        <v>515</v>
      </c>
      <c r="AT692" s="7380"/>
      <c r="AU692" s="7381"/>
      <c r="AV692" s="7380"/>
      <c r="AW692" s="7381"/>
      <c r="AX692" s="7380"/>
      <c r="AY692" s="7380"/>
      <c r="AZ692" s="7380"/>
      <c r="BA692" s="7380"/>
      <c r="BB692" s="7385"/>
      <c r="BC692" s="2260"/>
      <c r="BD692" s="1648"/>
      <c r="BE692" s="1630"/>
      <c r="BF692" s="1630"/>
      <c r="BG692" s="1630"/>
      <c r="BH692" s="1630"/>
      <c r="BI692" s="1641">
        <v>0</v>
      </c>
    </row>
    <row customHeight="1" ht="14.25">
      <c r="A693" s="1369"/>
      <c r="B693" s="1369"/>
      <c r="C693" s="1369"/>
      <c r="D693" s="1369"/>
      <c r="E693" s="2265"/>
      <c r="F693" s="2265"/>
      <c r="G693" s="2265"/>
      <c r="H693" s="2265"/>
      <c r="I693" s="2292"/>
      <c r="J693" s="2292"/>
      <c r="K693" s="2262"/>
      <c r="L693" s="1375"/>
      <c r="M693" s="1782"/>
      <c r="N693" s="1782"/>
      <c r="O693" s="1782"/>
      <c r="P693" s="2380"/>
      <c r="Q693" s="2380"/>
      <c r="R693" s="2353"/>
      <c r="S693" s="2348"/>
      <c r="T693" s="2367"/>
      <c r="U693" s="306"/>
      <c r="V693" s="7380"/>
      <c r="W693" s="7381"/>
      <c r="X693" s="7380"/>
      <c r="Y693" s="7381"/>
      <c r="Z693" s="7380"/>
      <c r="AA693" s="7380"/>
      <c r="AB693" s="7380"/>
      <c r="AC693" s="7380"/>
      <c r="AD693" s="2192"/>
      <c r="AE693" s="2332"/>
      <c r="AF693" s="2443"/>
      <c r="AG693" s="2369"/>
      <c r="AH693" s="2113"/>
      <c r="AI693" s="2332"/>
      <c r="AJ693" s="2443" t="s">
        <v>91</v>
      </c>
      <c r="AK693" s="2333"/>
      <c r="AL693" s="2113"/>
      <c r="AM693" s="7382"/>
      <c r="AN693" s="7386"/>
      <c r="AO693" s="7533" t="s">
        <v>516</v>
      </c>
      <c r="AP693" s="7383"/>
      <c r="AQ693" s="7383"/>
      <c r="AR693" s="7383"/>
      <c r="AS693" s="7380"/>
      <c r="AT693" s="7380"/>
      <c r="AU693" s="7381"/>
      <c r="AV693" s="7380"/>
      <c r="AW693" s="7381"/>
      <c r="AX693" s="7380"/>
      <c r="AY693" s="7380"/>
      <c r="AZ693" s="7380"/>
      <c r="BA693" s="7380"/>
      <c r="BB693" s="7385"/>
      <c r="BC693" s="2260"/>
      <c r="BD693" s="1648"/>
      <c r="BE693" s="1630"/>
      <c r="BF693" s="1630"/>
      <c r="BG693" s="1630"/>
      <c r="BH693" s="1630"/>
      <c r="BI693" s="1641">
        <v>0</v>
      </c>
    </row>
    <row customHeight="1" ht="14.25">
      <c r="A694" s="1369"/>
      <c r="B694" s="1369"/>
      <c r="C694" s="1369"/>
      <c r="D694" s="1369"/>
      <c r="E694" s="2265"/>
      <c r="F694" s="2265"/>
      <c r="G694" s="2265"/>
      <c r="H694" s="2265"/>
      <c r="I694" s="2292"/>
      <c r="J694" s="2292"/>
      <c r="K694" s="2262" t="str">
        <f>S689&amp;".1"</f>
        <v>.1</v>
      </c>
      <c r="L694" s="1375"/>
      <c r="M694" s="1782"/>
      <c r="N694" s="1782"/>
      <c r="O694" s="1782"/>
      <c r="P694" s="2380"/>
      <c r="Q694" s="2380"/>
      <c r="R694" s="2353">
        <v>1</v>
      </c>
      <c r="S694" s="2347" t="str">
        <f>$K694</f>
        <v>.1</v>
      </c>
      <c r="T694" s="2366"/>
      <c r="U694" s="306"/>
      <c r="V694" s="757"/>
      <c r="W694" s="1263"/>
      <c r="X694" s="757"/>
      <c r="Y694" s="1263"/>
      <c r="Z694" s="2608"/>
      <c r="AA694" s="2113" t="s">
        <v>62</v>
      </c>
      <c r="AB694" s="2608"/>
      <c r="AC694" s="2113" t="s">
        <v>62</v>
      </c>
      <c r="AD694" s="2191" t="s">
        <v>62</v>
      </c>
      <c r="AE694" s="2332"/>
      <c r="AF694" s="2443">
        <v>1</v>
      </c>
      <c r="AG694" s="2369"/>
      <c r="AH694" s="2113" t="s">
        <v>62</v>
      </c>
      <c r="AI694" s="689" t="s">
        <v>253</v>
      </c>
      <c r="AJ694" s="2443" t="s">
        <v>113</v>
      </c>
      <c r="AK694" s="2333" t="s">
        <v>536</v>
      </c>
      <c r="AL694" s="2113" t="s">
        <v>19</v>
      </c>
      <c r="AM694" s="2300"/>
      <c r="AN694" s="2443">
        <v>1</v>
      </c>
      <c r="AO694" s="3340" t="s">
        <v>28</v>
      </c>
      <c r="AP694" s="2364" t="s">
        <v>62</v>
      </c>
      <c r="AQ694" s="317"/>
      <c r="AR694" s="2443">
        <v>1</v>
      </c>
      <c r="AS694" s="2582" t="s">
        <v>541</v>
      </c>
      <c r="AT694" s="757"/>
      <c r="AU694" s="1263"/>
      <c r="AV694" s="757"/>
      <c r="AW694" s="1263">
        <v>41367.19</v>
      </c>
      <c r="AX694" s="2608">
        <v>46023.3878587963</v>
      </c>
      <c r="AY694" s="2113" t="s">
        <v>62</v>
      </c>
      <c r="AZ694" s="2608">
        <v>46387.4034837963</v>
      </c>
      <c r="BA694" s="2113" t="s">
        <v>62</v>
      </c>
      <c r="BB694" s="1354"/>
      <c r="BC694" s="2259" t="s">
        <v>514</v>
      </c>
      <c r="BD694" s="1648"/>
      <c r="BE694" s="1630"/>
      <c r="BF694" s="1630" t="str">
        <f>IF(T694="","",T694)</f>
        <v/>
      </c>
      <c r="BG694" s="1630"/>
      <c r="BH694" s="1630"/>
      <c r="BI694" s="1641">
        <v>0</v>
      </c>
    </row>
    <row customHeight="1" ht="14.25">
      <c r="A695" s="1369"/>
      <c r="B695" s="1369"/>
      <c r="C695" s="1369"/>
      <c r="D695" s="1369"/>
      <c r="E695" s="2265"/>
      <c r="F695" s="2265"/>
      <c r="G695" s="2265"/>
      <c r="H695" s="2265"/>
      <c r="I695" s="2292"/>
      <c r="J695" s="2292"/>
      <c r="K695" s="2262"/>
      <c r="L695" s="1375"/>
      <c r="M695" s="1782"/>
      <c r="N695" s="1782"/>
      <c r="O695" s="1782"/>
      <c r="P695" s="2380"/>
      <c r="Q695" s="2380"/>
      <c r="R695" s="2353"/>
      <c r="S695" s="2348"/>
      <c r="T695" s="2367"/>
      <c r="U695" s="306"/>
      <c r="V695" s="7380"/>
      <c r="W695" s="7381"/>
      <c r="X695" s="7380"/>
      <c r="Y695" s="7381"/>
      <c r="Z695" s="7380"/>
      <c r="AA695" s="7380"/>
      <c r="AB695" s="7380"/>
      <c r="AC695" s="7380"/>
      <c r="AD695" s="2192"/>
      <c r="AE695" s="2332"/>
      <c r="AF695" s="2443"/>
      <c r="AG695" s="2369"/>
      <c r="AH695" s="2113"/>
      <c r="AI695" s="2332"/>
      <c r="AJ695" s="2443" t="s">
        <v>92</v>
      </c>
      <c r="AK695" s="2333"/>
      <c r="AL695" s="2113"/>
      <c r="AM695" s="2301"/>
      <c r="AN695" s="2443"/>
      <c r="AO695" s="3340" t="s">
        <v>28</v>
      </c>
      <c r="AP695" s="2365"/>
      <c r="AQ695" s="7382"/>
      <c r="AR695" s="7383"/>
      <c r="AS695" s="7534" t="s">
        <v>515</v>
      </c>
      <c r="AT695" s="7380"/>
      <c r="AU695" s="7381"/>
      <c r="AV695" s="7380"/>
      <c r="AW695" s="7381"/>
      <c r="AX695" s="7380"/>
      <c r="AY695" s="7380"/>
      <c r="AZ695" s="7380"/>
      <c r="BA695" s="7380"/>
      <c r="BB695" s="7385"/>
      <c r="BC695" s="2260"/>
      <c r="BD695" s="1648"/>
      <c r="BE695" s="1630"/>
      <c r="BF695" s="1630"/>
      <c r="BG695" s="1630"/>
      <c r="BH695" s="1630"/>
      <c r="BI695" s="1641">
        <v>0</v>
      </c>
    </row>
    <row customHeight="1" ht="14.25">
      <c r="A696" s="1369"/>
      <c r="B696" s="1369"/>
      <c r="C696" s="1369"/>
      <c r="D696" s="1369"/>
      <c r="E696" s="2265"/>
      <c r="F696" s="2265"/>
      <c r="G696" s="2265"/>
      <c r="H696" s="2265"/>
      <c r="I696" s="2292"/>
      <c r="J696" s="2292"/>
      <c r="K696" s="2262"/>
      <c r="L696" s="1375"/>
      <c r="M696" s="1782"/>
      <c r="N696" s="1782"/>
      <c r="O696" s="1782"/>
      <c r="P696" s="2380"/>
      <c r="Q696" s="2380"/>
      <c r="R696" s="2353"/>
      <c r="S696" s="2348"/>
      <c r="T696" s="2367"/>
      <c r="U696" s="306"/>
      <c r="V696" s="7380"/>
      <c r="W696" s="7381"/>
      <c r="X696" s="7380"/>
      <c r="Y696" s="7381"/>
      <c r="Z696" s="7380"/>
      <c r="AA696" s="7380"/>
      <c r="AB696" s="7380"/>
      <c r="AC696" s="7380"/>
      <c r="AD696" s="2192"/>
      <c r="AE696" s="2332"/>
      <c r="AF696" s="2443"/>
      <c r="AG696" s="2369"/>
      <c r="AH696" s="2113"/>
      <c r="AI696" s="2332"/>
      <c r="AJ696" s="2443" t="s">
        <v>92</v>
      </c>
      <c r="AK696" s="2333"/>
      <c r="AL696" s="2113"/>
      <c r="AM696" s="7382"/>
      <c r="AN696" s="7386"/>
      <c r="AO696" s="7535" t="s">
        <v>516</v>
      </c>
      <c r="AP696" s="7383"/>
      <c r="AQ696" s="7383"/>
      <c r="AR696" s="7383"/>
      <c r="AS696" s="7380"/>
      <c r="AT696" s="7380"/>
      <c r="AU696" s="7381"/>
      <c r="AV696" s="7380"/>
      <c r="AW696" s="7381"/>
      <c r="AX696" s="7380"/>
      <c r="AY696" s="7380"/>
      <c r="AZ696" s="7380"/>
      <c r="BA696" s="7380"/>
      <c r="BB696" s="7385"/>
      <c r="BC696" s="2260"/>
      <c r="BD696" s="1648"/>
      <c r="BE696" s="1630"/>
      <c r="BF696" s="1630"/>
      <c r="BG696" s="1630"/>
      <c r="BH696" s="1630"/>
      <c r="BI696" s="1641">
        <v>0</v>
      </c>
    </row>
    <row customHeight="1" ht="14.25">
      <c r="A697" s="1369"/>
      <c r="B697" s="1369"/>
      <c r="C697" s="1369"/>
      <c r="D697" s="1369"/>
      <c r="E697" s="2265"/>
      <c r="F697" s="2265"/>
      <c r="G697" s="2265"/>
      <c r="H697" s="2265"/>
      <c r="I697" s="2292"/>
      <c r="J697" s="2292"/>
      <c r="K697" s="2262" t="str">
        <f>S693&amp;".1"</f>
        <v>.1</v>
      </c>
      <c r="L697" s="1375"/>
      <c r="M697" s="1782"/>
      <c r="N697" s="1782"/>
      <c r="O697" s="1782"/>
      <c r="P697" s="2380"/>
      <c r="Q697" s="2380"/>
      <c r="R697" s="2353">
        <v>1</v>
      </c>
      <c r="S697" s="2347" t="str">
        <f>$K697</f>
        <v>.1</v>
      </c>
      <c r="T697" s="2366"/>
      <c r="U697" s="306"/>
      <c r="V697" s="757"/>
      <c r="W697" s="1263"/>
      <c r="X697" s="757"/>
      <c r="Y697" s="1263"/>
      <c r="Z697" s="2608"/>
      <c r="AA697" s="2113" t="s">
        <v>62</v>
      </c>
      <c r="AB697" s="2608"/>
      <c r="AC697" s="2113" t="s">
        <v>62</v>
      </c>
      <c r="AD697" s="2191" t="s">
        <v>62</v>
      </c>
      <c r="AE697" s="2332"/>
      <c r="AF697" s="2443">
        <v>1</v>
      </c>
      <c r="AG697" s="2369"/>
      <c r="AH697" s="2113" t="s">
        <v>62</v>
      </c>
      <c r="AI697" s="689" t="s">
        <v>253</v>
      </c>
      <c r="AJ697" s="2443" t="s">
        <v>93</v>
      </c>
      <c r="AK697" s="2333" t="s">
        <v>537</v>
      </c>
      <c r="AL697" s="2113" t="s">
        <v>19</v>
      </c>
      <c r="AM697" s="2300"/>
      <c r="AN697" s="2443">
        <v>1</v>
      </c>
      <c r="AO697" s="3340" t="s">
        <v>28</v>
      </c>
      <c r="AP697" s="2364" t="s">
        <v>62</v>
      </c>
      <c r="AQ697" s="317"/>
      <c r="AR697" s="2443">
        <v>1</v>
      </c>
      <c r="AS697" s="2582" t="s">
        <v>541</v>
      </c>
      <c r="AT697" s="757"/>
      <c r="AU697" s="1263"/>
      <c r="AV697" s="757"/>
      <c r="AW697" s="1263">
        <v>53941.36</v>
      </c>
      <c r="AX697" s="2608">
        <v>46023.38789351852</v>
      </c>
      <c r="AY697" s="2113" t="s">
        <v>62</v>
      </c>
      <c r="AZ697" s="2608">
        <v>46387.40355324074</v>
      </c>
      <c r="BA697" s="2113" t="s">
        <v>62</v>
      </c>
      <c r="BB697" s="1354"/>
      <c r="BC697" s="2259" t="s">
        <v>514</v>
      </c>
      <c r="BD697" s="1648"/>
      <c r="BE697" s="1630"/>
      <c r="BF697" s="1630" t="str">
        <f>IF(T697="","",T697)</f>
        <v/>
      </c>
      <c r="BG697" s="1630"/>
      <c r="BH697" s="1630"/>
      <c r="BI697" s="1641">
        <v>0</v>
      </c>
    </row>
    <row customHeight="1" ht="14.25">
      <c r="A698" s="1369"/>
      <c r="B698" s="1369"/>
      <c r="C698" s="1369"/>
      <c r="D698" s="1369"/>
      <c r="E698" s="2265"/>
      <c r="F698" s="2265"/>
      <c r="G698" s="2265"/>
      <c r="H698" s="2265"/>
      <c r="I698" s="2292"/>
      <c r="J698" s="2292"/>
      <c r="K698" s="2262"/>
      <c r="L698" s="1375"/>
      <c r="M698" s="1782"/>
      <c r="N698" s="1782"/>
      <c r="O698" s="1782"/>
      <c r="P698" s="2380"/>
      <c r="Q698" s="2380"/>
      <c r="R698" s="2353"/>
      <c r="S698" s="2348"/>
      <c r="T698" s="2367"/>
      <c r="U698" s="306"/>
      <c r="V698" s="7380"/>
      <c r="W698" s="7381"/>
      <c r="X698" s="7380"/>
      <c r="Y698" s="7381"/>
      <c r="Z698" s="7380"/>
      <c r="AA698" s="7380"/>
      <c r="AB698" s="7380"/>
      <c r="AC698" s="7380"/>
      <c r="AD698" s="2192"/>
      <c r="AE698" s="2332"/>
      <c r="AF698" s="2443"/>
      <c r="AG698" s="2369"/>
      <c r="AH698" s="2113"/>
      <c r="AI698" s="2332"/>
      <c r="AJ698" s="2443" t="s">
        <v>113</v>
      </c>
      <c r="AK698" s="2333"/>
      <c r="AL698" s="2113"/>
      <c r="AM698" s="2301"/>
      <c r="AN698" s="2443"/>
      <c r="AO698" s="3340" t="s">
        <v>28</v>
      </c>
      <c r="AP698" s="2365"/>
      <c r="AQ698" s="7382"/>
      <c r="AR698" s="7383"/>
      <c r="AS698" s="7536" t="s">
        <v>515</v>
      </c>
      <c r="AT698" s="7380"/>
      <c r="AU698" s="7381"/>
      <c r="AV698" s="7380"/>
      <c r="AW698" s="7381"/>
      <c r="AX698" s="7380"/>
      <c r="AY698" s="7380"/>
      <c r="AZ698" s="7380"/>
      <c r="BA698" s="7380"/>
      <c r="BB698" s="7385"/>
      <c r="BC698" s="2260"/>
      <c r="BD698" s="1648"/>
      <c r="BE698" s="1630"/>
      <c r="BF698" s="1630"/>
      <c r="BG698" s="1630"/>
      <c r="BH698" s="1630"/>
      <c r="BI698" s="1641">
        <v>0</v>
      </c>
    </row>
    <row customHeight="1" ht="14.25">
      <c r="A699" s="1369"/>
      <c r="B699" s="1369"/>
      <c r="C699" s="1369"/>
      <c r="D699" s="1369"/>
      <c r="E699" s="2265"/>
      <c r="F699" s="2265"/>
      <c r="G699" s="2265"/>
      <c r="H699" s="2265"/>
      <c r="I699" s="2292"/>
      <c r="J699" s="2292"/>
      <c r="K699" s="2262"/>
      <c r="L699" s="1375"/>
      <c r="M699" s="1782"/>
      <c r="N699" s="1782"/>
      <c r="O699" s="1782"/>
      <c r="P699" s="2380"/>
      <c r="Q699" s="2380"/>
      <c r="R699" s="2353"/>
      <c r="S699" s="2348"/>
      <c r="T699" s="2367"/>
      <c r="U699" s="306"/>
      <c r="V699" s="7380"/>
      <c r="W699" s="7381"/>
      <c r="X699" s="7380"/>
      <c r="Y699" s="7381"/>
      <c r="Z699" s="7380"/>
      <c r="AA699" s="7380"/>
      <c r="AB699" s="7380"/>
      <c r="AC699" s="7380"/>
      <c r="AD699" s="2192"/>
      <c r="AE699" s="2332"/>
      <c r="AF699" s="2443"/>
      <c r="AG699" s="2369"/>
      <c r="AH699" s="2113"/>
      <c r="AI699" s="2332"/>
      <c r="AJ699" s="2443" t="s">
        <v>113</v>
      </c>
      <c r="AK699" s="2333"/>
      <c r="AL699" s="2113"/>
      <c r="AM699" s="7382"/>
      <c r="AN699" s="7386"/>
      <c r="AO699" s="7537" t="s">
        <v>516</v>
      </c>
      <c r="AP699" s="7383"/>
      <c r="AQ699" s="7383"/>
      <c r="AR699" s="7383"/>
      <c r="AS699" s="7380"/>
      <c r="AT699" s="7380"/>
      <c r="AU699" s="7381"/>
      <c r="AV699" s="7380"/>
      <c r="AW699" s="7381"/>
      <c r="AX699" s="7380"/>
      <c r="AY699" s="7380"/>
      <c r="AZ699" s="7380"/>
      <c r="BA699" s="7380"/>
      <c r="BB699" s="7385"/>
      <c r="BC699" s="2260"/>
      <c r="BD699" s="1648"/>
      <c r="BE699" s="1630"/>
      <c r="BF699" s="1630"/>
      <c r="BG699" s="1630"/>
      <c r="BH699" s="1630"/>
      <c r="BI699" s="1641">
        <v>0</v>
      </c>
    </row>
    <row customHeight="1" ht="14.25">
      <c r="A700" s="1369"/>
      <c r="B700" s="1369"/>
      <c r="C700" s="1369"/>
      <c r="D700" s="1369"/>
      <c r="E700" s="2265"/>
      <c r="F700" s="2265"/>
      <c r="G700" s="2265"/>
      <c r="H700" s="2265"/>
      <c r="I700" s="2292"/>
      <c r="J700" s="2292"/>
      <c r="K700" s="2262" t="str">
        <f>S450&amp;".8"</f>
        <v>3.1.1.8</v>
      </c>
      <c r="L700" s="1375"/>
      <c r="M700" s="1782"/>
      <c r="N700" s="1782"/>
      <c r="O700" s="1782"/>
      <c r="P700" s="2380"/>
      <c r="Q700" s="2380"/>
      <c r="R700" s="2353"/>
      <c r="S700" s="2348"/>
      <c r="T700" s="2367"/>
      <c r="U700" s="306"/>
      <c r="V700" s="7380"/>
      <c r="W700" s="7381"/>
      <c r="X700" s="7380"/>
      <c r="Y700" s="7381"/>
      <c r="Z700" s="7380"/>
      <c r="AA700" s="7380"/>
      <c r="AB700" s="7380"/>
      <c r="AC700" s="7380"/>
      <c r="AD700" s="2192"/>
      <c r="AE700" s="2332"/>
      <c r="AF700" s="2443"/>
      <c r="AG700" s="3339" t="s">
        <v>28</v>
      </c>
      <c r="AH700" s="2113"/>
      <c r="AI700" s="7408"/>
      <c r="AJ700" s="7409"/>
      <c r="AK700" s="7538" t="s">
        <v>517</v>
      </c>
      <c r="AL700" s="7380"/>
      <c r="AM700" s="7380"/>
      <c r="AN700" s="7380"/>
      <c r="AO700" s="7380"/>
      <c r="AP700" s="7380"/>
      <c r="AQ700" s="7380"/>
      <c r="AR700" s="7380"/>
      <c r="AS700" s="7380"/>
      <c r="AT700" s="7380"/>
      <c r="AU700" s="7381"/>
      <c r="AV700" s="7380"/>
      <c r="AW700" s="7381"/>
      <c r="AX700" s="7380"/>
      <c r="AY700" s="7380"/>
      <c r="AZ700" s="7380"/>
      <c r="BA700" s="7380"/>
      <c r="BB700" s="7385"/>
      <c r="BC700" s="2260"/>
      <c r="BD700" s="1648"/>
      <c r="BE700" s="1630"/>
      <c r="BF700" s="1630"/>
      <c r="BG700" s="1630"/>
      <c r="BH700" s="1630"/>
      <c r="BI700" s="1641">
        <v>0</v>
      </c>
    </row>
    <row customHeight="1" ht="14.25">
      <c r="A701" s="1369"/>
      <c r="B701" s="1369"/>
      <c r="C701" s="1369"/>
      <c r="D701" s="1369"/>
      <c r="E701" s="2265"/>
      <c r="F701" s="2265"/>
      <c r="G701" s="2265"/>
      <c r="H701" s="2265"/>
      <c r="I701" s="2292"/>
      <c r="J701" s="2292"/>
      <c r="K701" s="2262" t="str">
        <f>S450&amp;".8"</f>
        <v>3.1.1.8</v>
      </c>
      <c r="L701" s="1375"/>
      <c r="M701" s="1782"/>
      <c r="N701" s="1782"/>
      <c r="O701" s="1782"/>
      <c r="P701" s="2380"/>
      <c r="Q701" s="2380"/>
      <c r="R701" s="2353"/>
      <c r="S701" s="2349"/>
      <c r="T701" s="2368"/>
      <c r="U701" s="306"/>
      <c r="V701" s="7380"/>
      <c r="W701" s="7539" t="str">
        <f>Z678&amp;"-"&amp;AB678</f>
        <v>-</v>
      </c>
      <c r="X701" s="7380"/>
      <c r="Y701" s="7540" t="str">
        <f>AB678&amp;"-"&amp;AD678</f>
        <v>-нет</v>
      </c>
      <c r="Z701" s="7380"/>
      <c r="AA701" s="7380"/>
      <c r="AB701" s="7380"/>
      <c r="AC701" s="7380"/>
      <c r="AD701" s="2118"/>
      <c r="AE701" s="7413"/>
      <c r="AF701" s="7414"/>
      <c r="AG701" s="7541" t="s">
        <v>518</v>
      </c>
      <c r="AH701" s="7380"/>
      <c r="AI701" s="7380"/>
      <c r="AJ701" s="7380"/>
      <c r="AK701" s="7380"/>
      <c r="AL701" s="7380"/>
      <c r="AM701" s="7380"/>
      <c r="AN701" s="7380"/>
      <c r="AO701" s="7380"/>
      <c r="AP701" s="7380"/>
      <c r="AQ701" s="7380"/>
      <c r="AR701" s="7380"/>
      <c r="AS701" s="7380"/>
      <c r="AT701" s="7380"/>
      <c r="AU701" s="7542" t="str">
        <f>AX678&amp;"-"&amp;AZ678</f>
        <v>46023.38748842593-46387.40278935185</v>
      </c>
      <c r="AV701" s="7380"/>
      <c r="AW701" s="7543" t="str">
        <f>AZ678&amp;"-"&amp;BB678</f>
        <v>46387.40278935185-</v>
      </c>
      <c r="AX701" s="7380"/>
      <c r="AY701" s="7380"/>
      <c r="AZ701" s="7380"/>
      <c r="BA701" s="7380"/>
      <c r="BB701" s="7544" t="str">
        <f>BE678&amp;"-"&amp;BG678</f>
        <v>-</v>
      </c>
      <c r="BC701" s="2260"/>
      <c r="BD701" s="1648"/>
      <c r="BE701" s="1630"/>
      <c r="BF701" s="1630" t="str">
        <f>IF(T701="","",T701)</f>
        <v/>
      </c>
      <c r="BG701" s="1630"/>
      <c r="BH701" s="1630"/>
      <c r="BI701" s="1641">
        <v>0</v>
      </c>
    </row>
    <row customHeight="1" ht="14.25">
      <c r="A702" s="1369"/>
      <c r="B702" s="1369"/>
      <c r="C702" s="1369"/>
      <c r="D702" s="1369"/>
      <c r="E702" s="2265"/>
      <c r="F702" s="2265"/>
      <c r="G702" s="2265"/>
      <c r="H702" s="2265"/>
      <c r="I702" s="2292"/>
      <c r="J702" s="2292"/>
      <c r="K702" s="2262" t="str">
        <f>S450&amp;".10"</f>
        <v>3.1.1.10</v>
      </c>
      <c r="L702" s="1375"/>
      <c r="M702" s="1782"/>
      <c r="N702" s="1782"/>
      <c r="O702" s="1782"/>
      <c r="P702" s="2380"/>
      <c r="Q702" s="2380"/>
      <c r="R702" s="689" t="s">
        <v>253</v>
      </c>
      <c r="S702" s="2347" t="str">
        <f>$K702</f>
        <v>3.1.1.10</v>
      </c>
      <c r="T702" s="2366" t="s">
        <v>547</v>
      </c>
      <c r="U702" s="306"/>
      <c r="V702" s="757"/>
      <c r="W702" s="1263"/>
      <c r="X702" s="757"/>
      <c r="Y702" s="1263"/>
      <c r="Z702" s="2608"/>
      <c r="AA702" s="2113" t="s">
        <v>62</v>
      </c>
      <c r="AB702" s="2608"/>
      <c r="AC702" s="2113" t="s">
        <v>62</v>
      </c>
      <c r="AD702" s="2191" t="s">
        <v>19</v>
      </c>
      <c r="AE702" s="2332"/>
      <c r="AF702" s="2443">
        <v>1</v>
      </c>
      <c r="AG702" s="3339" t="s">
        <v>28</v>
      </c>
      <c r="AH702" s="2113" t="s">
        <v>62</v>
      </c>
      <c r="AI702" s="2332"/>
      <c r="AJ702" s="2443">
        <v>1</v>
      </c>
      <c r="AK702" s="2333" t="s">
        <v>532</v>
      </c>
      <c r="AL702" s="2113" t="s">
        <v>19</v>
      </c>
      <c r="AM702" s="2300"/>
      <c r="AN702" s="2443">
        <v>1</v>
      </c>
      <c r="AO702" s="3340" t="s">
        <v>28</v>
      </c>
      <c r="AP702" s="2364" t="s">
        <v>62</v>
      </c>
      <c r="AQ702" s="317"/>
      <c r="AR702" s="2443">
        <v>1</v>
      </c>
      <c r="AS702" s="2582" t="s">
        <v>541</v>
      </c>
      <c r="AT702" s="757"/>
      <c r="AU702" s="1263"/>
      <c r="AV702" s="757"/>
      <c r="AW702" s="1263">
        <v>13586.04</v>
      </c>
      <c r="AX702" s="2608">
        <v>46023.38793981481</v>
      </c>
      <c r="AY702" s="2113" t="s">
        <v>62</v>
      </c>
      <c r="AZ702" s="2608">
        <v>46387.40363425926</v>
      </c>
      <c r="BA702" s="2113" t="s">
        <v>62</v>
      </c>
      <c r="BB702" s="1354"/>
      <c r="BC702" s="2259" t="s">
        <v>514</v>
      </c>
      <c r="BD702" s="1648"/>
      <c r="BE702" s="1630"/>
      <c r="BF702" s="1630" t="str">
        <f>IF(T702="","",T702)</f>
        <v>Прокладка трубопроводов водоснабжения в непроходных каналах в изоляции из пенополиуретана (ППУ),с погрузкой и вывозом грунта автотранспортом, диаметр труб:</v>
      </c>
      <c r="BG702" s="1630"/>
      <c r="BH702" s="1630"/>
      <c r="BI702" s="1641">
        <v>0</v>
      </c>
    </row>
    <row customHeight="1" ht="14.25">
      <c r="A703" s="1369"/>
      <c r="B703" s="1369"/>
      <c r="C703" s="1369"/>
      <c r="D703" s="1369"/>
      <c r="E703" s="2265"/>
      <c r="F703" s="2265"/>
      <c r="G703" s="2265"/>
      <c r="H703" s="2265"/>
      <c r="I703" s="2292"/>
      <c r="J703" s="2292"/>
      <c r="K703" s="2262" t="str">
        <f>S699&amp;".1"</f>
        <v>.1</v>
      </c>
      <c r="L703" s="1375"/>
      <c r="M703" s="1782"/>
      <c r="N703" s="1782"/>
      <c r="O703" s="1782"/>
      <c r="P703" s="2380"/>
      <c r="Q703" s="2380"/>
      <c r="R703" s="2353">
        <v>1</v>
      </c>
      <c r="S703" s="2347" t="str">
        <f>$K703</f>
        <v>.1</v>
      </c>
      <c r="T703" s="2366"/>
      <c r="U703" s="306"/>
      <c r="V703" s="757"/>
      <c r="W703" s="1263"/>
      <c r="X703" s="757"/>
      <c r="Y703" s="1263"/>
      <c r="Z703" s="2608"/>
      <c r="AA703" s="2113" t="s">
        <v>62</v>
      </c>
      <c r="AB703" s="2608"/>
      <c r="AC703" s="2113" t="s">
        <v>62</v>
      </c>
      <c r="AD703" s="2191" t="s">
        <v>62</v>
      </c>
      <c r="AE703" s="2332"/>
      <c r="AF703" s="2443">
        <v>1</v>
      </c>
      <c r="AG703" s="2369"/>
      <c r="AH703" s="2113" t="s">
        <v>62</v>
      </c>
      <c r="AI703" s="2332"/>
      <c r="AJ703" s="2443">
        <v>1</v>
      </c>
      <c r="AK703" s="2333" t="s">
        <v>28</v>
      </c>
      <c r="AL703" s="2113" t="s">
        <v>62</v>
      </c>
      <c r="AM703" s="2300"/>
      <c r="AN703" s="2443">
        <v>1</v>
      </c>
      <c r="AO703" s="2363"/>
      <c r="AP703" s="2364" t="s">
        <v>62</v>
      </c>
      <c r="AQ703" s="689" t="s">
        <v>253</v>
      </c>
      <c r="AR703" s="2443" t="s">
        <v>112</v>
      </c>
      <c r="AS703" s="2582" t="s">
        <v>541</v>
      </c>
      <c r="AT703" s="757"/>
      <c r="AU703" s="1263"/>
      <c r="AV703" s="757"/>
      <c r="AW703" s="1263">
        <v>17609.15</v>
      </c>
      <c r="AX703" s="2608">
        <v>46023.38796296297</v>
      </c>
      <c r="AY703" s="2113" t="s">
        <v>62</v>
      </c>
      <c r="AZ703" s="2608">
        <v>46387.403715277775</v>
      </c>
      <c r="BA703" s="2113" t="s">
        <v>62</v>
      </c>
      <c r="BB703" s="1354"/>
      <c r="BC703" s="2259" t="s">
        <v>514</v>
      </c>
      <c r="BD703" s="1648"/>
      <c r="BE703" s="1630"/>
      <c r="BF703" s="1630" t="str">
        <f>IF(T703="","",T703)</f>
        <v/>
      </c>
      <c r="BG703" s="1630"/>
      <c r="BH703" s="1630"/>
      <c r="BI703" s="1641">
        <v>0</v>
      </c>
    </row>
    <row customHeight="1" ht="14.25">
      <c r="A704" s="1369"/>
      <c r="B704" s="1369"/>
      <c r="C704" s="1369"/>
      <c r="D704" s="1369"/>
      <c r="E704" s="2265"/>
      <c r="F704" s="2265"/>
      <c r="G704" s="2265"/>
      <c r="H704" s="2265"/>
      <c r="I704" s="2292"/>
      <c r="J704" s="2292"/>
      <c r="K704" s="2262" t="str">
        <f>S450&amp;".9"</f>
        <v>3.1.1.9</v>
      </c>
      <c r="L704" s="1375"/>
      <c r="M704" s="1782"/>
      <c r="N704" s="1782"/>
      <c r="O704" s="1782"/>
      <c r="P704" s="2380"/>
      <c r="Q704" s="2380"/>
      <c r="R704" s="2353"/>
      <c r="S704" s="2348"/>
      <c r="T704" s="2367"/>
      <c r="U704" s="306"/>
      <c r="V704" s="7380"/>
      <c r="W704" s="7381"/>
      <c r="X704" s="7380"/>
      <c r="Y704" s="7381"/>
      <c r="Z704" s="7380"/>
      <c r="AA704" s="7380"/>
      <c r="AB704" s="7380"/>
      <c r="AC704" s="7380"/>
      <c r="AD704" s="2192"/>
      <c r="AE704" s="2332"/>
      <c r="AF704" s="2443"/>
      <c r="AG704" s="3339" t="s">
        <v>28</v>
      </c>
      <c r="AH704" s="2113"/>
      <c r="AI704" s="2332"/>
      <c r="AJ704" s="2443"/>
      <c r="AK704" s="2333"/>
      <c r="AL704" s="2113"/>
      <c r="AM704" s="2301"/>
      <c r="AN704" s="2443"/>
      <c r="AO704" s="3340" t="s">
        <v>28</v>
      </c>
      <c r="AP704" s="2365"/>
      <c r="AQ704" s="7382"/>
      <c r="AR704" s="7383"/>
      <c r="AS704" s="7545" t="s">
        <v>515</v>
      </c>
      <c r="AT704" s="7380"/>
      <c r="AU704" s="7381"/>
      <c r="AV704" s="7380"/>
      <c r="AW704" s="7381"/>
      <c r="AX704" s="7380"/>
      <c r="AY704" s="7380"/>
      <c r="AZ704" s="7380"/>
      <c r="BA704" s="7380"/>
      <c r="BB704" s="7385"/>
      <c r="BC704" s="2260"/>
      <c r="BD704" s="1648"/>
      <c r="BE704" s="1630"/>
      <c r="BF704" s="1630"/>
      <c r="BG704" s="1630"/>
      <c r="BH704" s="1630"/>
      <c r="BI704" s="1641">
        <v>0</v>
      </c>
    </row>
    <row customHeight="1" ht="14.25">
      <c r="A705" s="1369"/>
      <c r="B705" s="1369"/>
      <c r="C705" s="1369"/>
      <c r="D705" s="1369"/>
      <c r="E705" s="2265"/>
      <c r="F705" s="2265"/>
      <c r="G705" s="2265"/>
      <c r="H705" s="2265"/>
      <c r="I705" s="2292"/>
      <c r="J705" s="2292"/>
      <c r="K705" s="2262" t="str">
        <f>S450&amp;".9"</f>
        <v>3.1.1.9</v>
      </c>
      <c r="L705" s="1375"/>
      <c r="M705" s="1782"/>
      <c r="N705" s="1782"/>
      <c r="O705" s="1782"/>
      <c r="P705" s="2380"/>
      <c r="Q705" s="2380"/>
      <c r="R705" s="2353"/>
      <c r="S705" s="2348"/>
      <c r="T705" s="2367"/>
      <c r="U705" s="306"/>
      <c r="V705" s="7380"/>
      <c r="W705" s="7381"/>
      <c r="X705" s="7380"/>
      <c r="Y705" s="7381"/>
      <c r="Z705" s="7380"/>
      <c r="AA705" s="7380"/>
      <c r="AB705" s="7380"/>
      <c r="AC705" s="7380"/>
      <c r="AD705" s="2192"/>
      <c r="AE705" s="2332"/>
      <c r="AF705" s="2443"/>
      <c r="AG705" s="3339" t="s">
        <v>28</v>
      </c>
      <c r="AH705" s="2113"/>
      <c r="AI705" s="2332"/>
      <c r="AJ705" s="2443"/>
      <c r="AK705" s="2333"/>
      <c r="AL705" s="2113"/>
      <c r="AM705" s="7382"/>
      <c r="AN705" s="7386"/>
      <c r="AO705" s="7546" t="s">
        <v>516</v>
      </c>
      <c r="AP705" s="7383"/>
      <c r="AQ705" s="7383"/>
      <c r="AR705" s="7383"/>
      <c r="AS705" s="7380"/>
      <c r="AT705" s="7380"/>
      <c r="AU705" s="7381"/>
      <c r="AV705" s="7380"/>
      <c r="AW705" s="7381"/>
      <c r="AX705" s="7380"/>
      <c r="AY705" s="7380"/>
      <c r="AZ705" s="7380"/>
      <c r="BA705" s="7380"/>
      <c r="BB705" s="7385"/>
      <c r="BC705" s="2260"/>
      <c r="BD705" s="1648"/>
      <c r="BE705" s="1630"/>
      <c r="BF705" s="1630"/>
      <c r="BG705" s="1630"/>
      <c r="BH705" s="1630"/>
      <c r="BI705" s="1641">
        <v>0</v>
      </c>
    </row>
    <row customHeight="1" ht="14.25">
      <c r="A706" s="1369"/>
      <c r="B706" s="1369"/>
      <c r="C706" s="1369"/>
      <c r="D706" s="1369"/>
      <c r="E706" s="2265"/>
      <c r="F706" s="2265"/>
      <c r="G706" s="2265"/>
      <c r="H706" s="2265"/>
      <c r="I706" s="2292"/>
      <c r="J706" s="2292"/>
      <c r="K706" s="2262" t="str">
        <f>S701&amp;".1"</f>
        <v>.1</v>
      </c>
      <c r="L706" s="1375"/>
      <c r="M706" s="1782"/>
      <c r="N706" s="1782"/>
      <c r="O706" s="1782"/>
      <c r="P706" s="2380"/>
      <c r="Q706" s="2380"/>
      <c r="R706" s="2353">
        <v>1</v>
      </c>
      <c r="S706" s="2347" t="str">
        <f>$K706</f>
        <v>.1</v>
      </c>
      <c r="T706" s="2366"/>
      <c r="U706" s="306"/>
      <c r="V706" s="757"/>
      <c r="W706" s="1263"/>
      <c r="X706" s="757"/>
      <c r="Y706" s="1263"/>
      <c r="Z706" s="2608"/>
      <c r="AA706" s="2113" t="s">
        <v>62</v>
      </c>
      <c r="AB706" s="2608"/>
      <c r="AC706" s="2113" t="s">
        <v>62</v>
      </c>
      <c r="AD706" s="2191" t="s">
        <v>62</v>
      </c>
      <c r="AE706" s="2332"/>
      <c r="AF706" s="2443">
        <v>1</v>
      </c>
      <c r="AG706" s="2369"/>
      <c r="AH706" s="2113" t="s">
        <v>62</v>
      </c>
      <c r="AI706" s="689" t="s">
        <v>253</v>
      </c>
      <c r="AJ706" s="2443" t="s">
        <v>112</v>
      </c>
      <c r="AK706" s="2333" t="s">
        <v>533</v>
      </c>
      <c r="AL706" s="2113" t="s">
        <v>19</v>
      </c>
      <c r="AM706" s="2300"/>
      <c r="AN706" s="2443">
        <v>1</v>
      </c>
      <c r="AO706" s="3340" t="s">
        <v>28</v>
      </c>
      <c r="AP706" s="2364" t="s">
        <v>62</v>
      </c>
      <c r="AQ706" s="317"/>
      <c r="AR706" s="2443">
        <v>1</v>
      </c>
      <c r="AS706" s="2582" t="s">
        <v>541</v>
      </c>
      <c r="AT706" s="757"/>
      <c r="AU706" s="1263"/>
      <c r="AV706" s="757"/>
      <c r="AW706" s="1263">
        <v>19632.62</v>
      </c>
      <c r="AX706" s="2608">
        <v>46023.38799768518</v>
      </c>
      <c r="AY706" s="2113" t="s">
        <v>62</v>
      </c>
      <c r="AZ706" s="2608">
        <v>46387.4037962963</v>
      </c>
      <c r="BA706" s="2113" t="s">
        <v>62</v>
      </c>
      <c r="BB706" s="1354"/>
      <c r="BC706" s="2259" t="s">
        <v>514</v>
      </c>
      <c r="BD706" s="1648"/>
      <c r="BE706" s="1630"/>
      <c r="BF706" s="1630" t="str">
        <f>IF(T706="","",T706)</f>
        <v/>
      </c>
      <c r="BG706" s="1630"/>
      <c r="BH706" s="1630"/>
      <c r="BI706" s="1641">
        <v>0</v>
      </c>
    </row>
    <row customHeight="1" ht="14.25">
      <c r="A707" s="1369"/>
      <c r="B707" s="1369"/>
      <c r="C707" s="1369"/>
      <c r="D707" s="1369"/>
      <c r="E707" s="2265"/>
      <c r="F707" s="2265"/>
      <c r="G707" s="2265"/>
      <c r="H707" s="2265"/>
      <c r="I707" s="2292"/>
      <c r="J707" s="2292"/>
      <c r="K707" s="2262" t="str">
        <f>S703&amp;".1"</f>
        <v>.1.1</v>
      </c>
      <c r="L707" s="1375"/>
      <c r="M707" s="1782"/>
      <c r="N707" s="1782"/>
      <c r="O707" s="1782"/>
      <c r="P707" s="2380"/>
      <c r="Q707" s="2380"/>
      <c r="R707" s="2353">
        <v>1</v>
      </c>
      <c r="S707" s="2347" t="str">
        <f>$K707</f>
        <v>.1.1</v>
      </c>
      <c r="T707" s="2366"/>
      <c r="U707" s="306"/>
      <c r="V707" s="757"/>
      <c r="W707" s="1263"/>
      <c r="X707" s="757"/>
      <c r="Y707" s="1263"/>
      <c r="Z707" s="2608"/>
      <c r="AA707" s="2113" t="s">
        <v>62</v>
      </c>
      <c r="AB707" s="2608"/>
      <c r="AC707" s="2113" t="s">
        <v>62</v>
      </c>
      <c r="AD707" s="2191" t="s">
        <v>62</v>
      </c>
      <c r="AE707" s="2332"/>
      <c r="AF707" s="2443">
        <v>1</v>
      </c>
      <c r="AG707" s="2369"/>
      <c r="AH707" s="2113" t="s">
        <v>62</v>
      </c>
      <c r="AI707" s="2332"/>
      <c r="AJ707" s="2443">
        <v>1</v>
      </c>
      <c r="AK707" s="2333" t="s">
        <v>28</v>
      </c>
      <c r="AL707" s="2113" t="s">
        <v>62</v>
      </c>
      <c r="AM707" s="2300"/>
      <c r="AN707" s="2443">
        <v>1</v>
      </c>
      <c r="AO707" s="2363"/>
      <c r="AP707" s="2364" t="s">
        <v>62</v>
      </c>
      <c r="AQ707" s="689" t="s">
        <v>253</v>
      </c>
      <c r="AR707" s="2443" t="s">
        <v>112</v>
      </c>
      <c r="AS707" s="2582" t="s">
        <v>541</v>
      </c>
      <c r="AT707" s="757"/>
      <c r="AU707" s="1263"/>
      <c r="AV707" s="757"/>
      <c r="AW707" s="1263">
        <v>23968.98</v>
      </c>
      <c r="AX707" s="2608">
        <v>46023.388032407405</v>
      </c>
      <c r="AY707" s="2113" t="s">
        <v>62</v>
      </c>
      <c r="AZ707" s="2608">
        <v>46387.40388888889</v>
      </c>
      <c r="BA707" s="2113" t="s">
        <v>62</v>
      </c>
      <c r="BB707" s="1354"/>
      <c r="BC707" s="2259" t="s">
        <v>514</v>
      </c>
      <c r="BD707" s="1648"/>
      <c r="BE707" s="1630"/>
      <c r="BF707" s="1630" t="str">
        <f>IF(T707="","",T707)</f>
        <v/>
      </c>
      <c r="BG707" s="1630"/>
      <c r="BH707" s="1630"/>
      <c r="BI707" s="1641">
        <v>0</v>
      </c>
    </row>
    <row customHeight="1" ht="14.25">
      <c r="A708" s="1369"/>
      <c r="B708" s="1369"/>
      <c r="C708" s="1369"/>
      <c r="D708" s="1369"/>
      <c r="E708" s="2265"/>
      <c r="F708" s="2265"/>
      <c r="G708" s="2265"/>
      <c r="H708" s="2265"/>
      <c r="I708" s="2292"/>
      <c r="J708" s="2292"/>
      <c r="K708" s="2262"/>
      <c r="L708" s="1375"/>
      <c r="M708" s="1782"/>
      <c r="N708" s="1782"/>
      <c r="O708" s="1782"/>
      <c r="P708" s="2380"/>
      <c r="Q708" s="2380"/>
      <c r="R708" s="2353"/>
      <c r="S708" s="2348"/>
      <c r="T708" s="2367"/>
      <c r="U708" s="306"/>
      <c r="V708" s="7380"/>
      <c r="W708" s="7381"/>
      <c r="X708" s="7380"/>
      <c r="Y708" s="7381"/>
      <c r="Z708" s="7380"/>
      <c r="AA708" s="7380"/>
      <c r="AB708" s="7380"/>
      <c r="AC708" s="7380"/>
      <c r="AD708" s="2192"/>
      <c r="AE708" s="2332"/>
      <c r="AF708" s="2443"/>
      <c r="AG708" s="2369"/>
      <c r="AH708" s="2113"/>
      <c r="AI708" s="2332"/>
      <c r="AJ708" s="2443">
        <v>1</v>
      </c>
      <c r="AK708" s="2333"/>
      <c r="AL708" s="2113"/>
      <c r="AM708" s="2301"/>
      <c r="AN708" s="2443"/>
      <c r="AO708" s="3340" t="s">
        <v>28</v>
      </c>
      <c r="AP708" s="2365"/>
      <c r="AQ708" s="7382"/>
      <c r="AR708" s="7383"/>
      <c r="AS708" s="7547" t="s">
        <v>515</v>
      </c>
      <c r="AT708" s="7380"/>
      <c r="AU708" s="7381"/>
      <c r="AV708" s="7380"/>
      <c r="AW708" s="7381"/>
      <c r="AX708" s="7380"/>
      <c r="AY708" s="7380"/>
      <c r="AZ708" s="7380"/>
      <c r="BA708" s="7380"/>
      <c r="BB708" s="7385"/>
      <c r="BC708" s="2260"/>
      <c r="BD708" s="1648"/>
      <c r="BE708" s="1630"/>
      <c r="BF708" s="1630"/>
      <c r="BG708" s="1630"/>
      <c r="BH708" s="1630"/>
      <c r="BI708" s="1641">
        <v>0</v>
      </c>
    </row>
    <row customHeight="1" ht="14.25">
      <c r="A709" s="1369"/>
      <c r="B709" s="1369"/>
      <c r="C709" s="1369"/>
      <c r="D709" s="1369"/>
      <c r="E709" s="2265"/>
      <c r="F709" s="2265"/>
      <c r="G709" s="2265"/>
      <c r="H709" s="2265"/>
      <c r="I709" s="2292"/>
      <c r="J709" s="2292"/>
      <c r="K709" s="2262"/>
      <c r="L709" s="1375"/>
      <c r="M709" s="1782"/>
      <c r="N709" s="1782"/>
      <c r="O709" s="1782"/>
      <c r="P709" s="2380"/>
      <c r="Q709" s="2380"/>
      <c r="R709" s="2353"/>
      <c r="S709" s="2348"/>
      <c r="T709" s="2367"/>
      <c r="U709" s="306"/>
      <c r="V709" s="7380"/>
      <c r="W709" s="7381"/>
      <c r="X709" s="7380"/>
      <c r="Y709" s="7381"/>
      <c r="Z709" s="7380"/>
      <c r="AA709" s="7380"/>
      <c r="AB709" s="7380"/>
      <c r="AC709" s="7380"/>
      <c r="AD709" s="2192"/>
      <c r="AE709" s="2332"/>
      <c r="AF709" s="2443"/>
      <c r="AG709" s="2369"/>
      <c r="AH709" s="2113"/>
      <c r="AI709" s="2332"/>
      <c r="AJ709" s="2443">
        <v>1</v>
      </c>
      <c r="AK709" s="2333"/>
      <c r="AL709" s="2113"/>
      <c r="AM709" s="7382"/>
      <c r="AN709" s="7386"/>
      <c r="AO709" s="7548" t="s">
        <v>516</v>
      </c>
      <c r="AP709" s="7383"/>
      <c r="AQ709" s="7383"/>
      <c r="AR709" s="7383"/>
      <c r="AS709" s="7380"/>
      <c r="AT709" s="7380"/>
      <c r="AU709" s="7381"/>
      <c r="AV709" s="7380"/>
      <c r="AW709" s="7381"/>
      <c r="AX709" s="7380"/>
      <c r="AY709" s="7380"/>
      <c r="AZ709" s="7380"/>
      <c r="BA709" s="7380"/>
      <c r="BB709" s="7385"/>
      <c r="BC709" s="2260"/>
      <c r="BD709" s="1648"/>
      <c r="BE709" s="1630"/>
      <c r="BF709" s="1630"/>
      <c r="BG709" s="1630"/>
      <c r="BH709" s="1630"/>
      <c r="BI709" s="1641">
        <v>0</v>
      </c>
    </row>
    <row customHeight="1" ht="14.25">
      <c r="A710" s="1369"/>
      <c r="B710" s="1369"/>
      <c r="C710" s="1369"/>
      <c r="D710" s="1369"/>
      <c r="E710" s="2265"/>
      <c r="F710" s="2265"/>
      <c r="G710" s="2265"/>
      <c r="H710" s="2265"/>
      <c r="I710" s="2292"/>
      <c r="J710" s="2292"/>
      <c r="K710" s="2262" t="str">
        <f>S705&amp;".1"</f>
        <v>.1</v>
      </c>
      <c r="L710" s="1375"/>
      <c r="M710" s="1782"/>
      <c r="N710" s="1782"/>
      <c r="O710" s="1782"/>
      <c r="P710" s="2380"/>
      <c r="Q710" s="2380"/>
      <c r="R710" s="2353">
        <v>1</v>
      </c>
      <c r="S710" s="2347" t="str">
        <f>$K710</f>
        <v>.1</v>
      </c>
      <c r="T710" s="2366"/>
      <c r="U710" s="306"/>
      <c r="V710" s="757"/>
      <c r="W710" s="1263"/>
      <c r="X710" s="757"/>
      <c r="Y710" s="1263"/>
      <c r="Z710" s="2608"/>
      <c r="AA710" s="2113" t="s">
        <v>62</v>
      </c>
      <c r="AB710" s="2608"/>
      <c r="AC710" s="2113" t="s">
        <v>62</v>
      </c>
      <c r="AD710" s="2191" t="s">
        <v>62</v>
      </c>
      <c r="AE710" s="2332"/>
      <c r="AF710" s="2443">
        <v>1</v>
      </c>
      <c r="AG710" s="2369"/>
      <c r="AH710" s="2113" t="s">
        <v>62</v>
      </c>
      <c r="AI710" s="689" t="s">
        <v>253</v>
      </c>
      <c r="AJ710" s="2443" t="s">
        <v>91</v>
      </c>
      <c r="AK710" s="2333" t="s">
        <v>534</v>
      </c>
      <c r="AL710" s="2113" t="s">
        <v>19</v>
      </c>
      <c r="AM710" s="2300"/>
      <c r="AN710" s="2443">
        <v>1</v>
      </c>
      <c r="AO710" s="3340" t="s">
        <v>28</v>
      </c>
      <c r="AP710" s="2364" t="s">
        <v>62</v>
      </c>
      <c r="AQ710" s="317"/>
      <c r="AR710" s="2443">
        <v>1</v>
      </c>
      <c r="AS710" s="2582" t="s">
        <v>541</v>
      </c>
      <c r="AT710" s="757"/>
      <c r="AU710" s="1263"/>
      <c r="AV710" s="757"/>
      <c r="AW710" s="1263">
        <v>27029.94</v>
      </c>
      <c r="AX710" s="2608">
        <v>46023.38805555556</v>
      </c>
      <c r="AY710" s="2113" t="s">
        <v>62</v>
      </c>
      <c r="AZ710" s="2608">
        <v>46387.403969907406</v>
      </c>
      <c r="BA710" s="2113" t="s">
        <v>62</v>
      </c>
      <c r="BB710" s="1354"/>
      <c r="BC710" s="2259" t="s">
        <v>514</v>
      </c>
      <c r="BD710" s="1648"/>
      <c r="BE710" s="1630"/>
      <c r="BF710" s="1630" t="str">
        <f>IF(T710="","",T710)</f>
        <v/>
      </c>
      <c r="BG710" s="1630"/>
      <c r="BH710" s="1630"/>
      <c r="BI710" s="1641">
        <v>0</v>
      </c>
    </row>
    <row customHeight="1" ht="14.25">
      <c r="A711" s="1369"/>
      <c r="B711" s="1369"/>
      <c r="C711" s="1369"/>
      <c r="D711" s="1369"/>
      <c r="E711" s="2265"/>
      <c r="F711" s="2265"/>
      <c r="G711" s="2265"/>
      <c r="H711" s="2265"/>
      <c r="I711" s="2292"/>
      <c r="J711" s="2292"/>
      <c r="K711" s="2262" t="str">
        <f>S707&amp;".1"</f>
        <v>.1.1.1</v>
      </c>
      <c r="L711" s="1375"/>
      <c r="M711" s="1782"/>
      <c r="N711" s="1782"/>
      <c r="O711" s="1782"/>
      <c r="P711" s="2380"/>
      <c r="Q711" s="2380"/>
      <c r="R711" s="2353">
        <v>1</v>
      </c>
      <c r="S711" s="2347" t="str">
        <f>$K711</f>
        <v>.1.1.1</v>
      </c>
      <c r="T711" s="2366"/>
      <c r="U711" s="306"/>
      <c r="V711" s="757"/>
      <c r="W711" s="1263"/>
      <c r="X711" s="757"/>
      <c r="Y711" s="1263"/>
      <c r="Z711" s="2608"/>
      <c r="AA711" s="2113" t="s">
        <v>62</v>
      </c>
      <c r="AB711" s="2608"/>
      <c r="AC711" s="2113" t="s">
        <v>62</v>
      </c>
      <c r="AD711" s="2191" t="s">
        <v>62</v>
      </c>
      <c r="AE711" s="2332"/>
      <c r="AF711" s="2443">
        <v>1</v>
      </c>
      <c r="AG711" s="2369"/>
      <c r="AH711" s="2113" t="s">
        <v>62</v>
      </c>
      <c r="AI711" s="2332"/>
      <c r="AJ711" s="2443">
        <v>1</v>
      </c>
      <c r="AK711" s="2333" t="s">
        <v>28</v>
      </c>
      <c r="AL711" s="2113" t="s">
        <v>62</v>
      </c>
      <c r="AM711" s="2300"/>
      <c r="AN711" s="2443">
        <v>1</v>
      </c>
      <c r="AO711" s="2363"/>
      <c r="AP711" s="2364" t="s">
        <v>62</v>
      </c>
      <c r="AQ711" s="689" t="s">
        <v>253</v>
      </c>
      <c r="AR711" s="2443" t="s">
        <v>112</v>
      </c>
      <c r="AS711" s="2582" t="s">
        <v>541</v>
      </c>
      <c r="AT711" s="757"/>
      <c r="AU711" s="1263"/>
      <c r="AV711" s="757"/>
      <c r="AW711" s="1263">
        <v>27874.08</v>
      </c>
      <c r="AX711" s="2608">
        <v>46023.38811342593</v>
      </c>
      <c r="AY711" s="2113" t="s">
        <v>62</v>
      </c>
      <c r="AZ711" s="2608">
        <v>46387.40403935185</v>
      </c>
      <c r="BA711" s="2113" t="s">
        <v>62</v>
      </c>
      <c r="BB711" s="1354"/>
      <c r="BC711" s="2259" t="s">
        <v>514</v>
      </c>
      <c r="BD711" s="1648"/>
      <c r="BE711" s="1630"/>
      <c r="BF711" s="1630" t="str">
        <f>IF(T711="","",T711)</f>
        <v/>
      </c>
      <c r="BG711" s="1630"/>
      <c r="BH711" s="1630"/>
      <c r="BI711" s="1641">
        <v>0</v>
      </c>
    </row>
    <row customHeight="1" ht="14.25">
      <c r="A712" s="1369"/>
      <c r="B712" s="1369"/>
      <c r="C712" s="1369"/>
      <c r="D712" s="1369"/>
      <c r="E712" s="2265"/>
      <c r="F712" s="2265"/>
      <c r="G712" s="2265"/>
      <c r="H712" s="2265"/>
      <c r="I712" s="2292"/>
      <c r="J712" s="2292"/>
      <c r="K712" s="2262"/>
      <c r="L712" s="1375"/>
      <c r="M712" s="1782"/>
      <c r="N712" s="1782"/>
      <c r="O712" s="1782"/>
      <c r="P712" s="2380"/>
      <c r="Q712" s="2380"/>
      <c r="R712" s="2353"/>
      <c r="S712" s="2348"/>
      <c r="T712" s="2367"/>
      <c r="U712" s="306"/>
      <c r="V712" s="7380"/>
      <c r="W712" s="7381"/>
      <c r="X712" s="7380"/>
      <c r="Y712" s="7381"/>
      <c r="Z712" s="7380"/>
      <c r="AA712" s="7380"/>
      <c r="AB712" s="7380"/>
      <c r="AC712" s="7380"/>
      <c r="AD712" s="2192"/>
      <c r="AE712" s="2332"/>
      <c r="AF712" s="2443"/>
      <c r="AG712" s="2369"/>
      <c r="AH712" s="2113"/>
      <c r="AI712" s="2332"/>
      <c r="AJ712" s="2443" t="s">
        <v>112</v>
      </c>
      <c r="AK712" s="2333"/>
      <c r="AL712" s="2113"/>
      <c r="AM712" s="2301"/>
      <c r="AN712" s="2443"/>
      <c r="AO712" s="3340" t="s">
        <v>28</v>
      </c>
      <c r="AP712" s="2365"/>
      <c r="AQ712" s="7382"/>
      <c r="AR712" s="7383"/>
      <c r="AS712" s="7549" t="s">
        <v>515</v>
      </c>
      <c r="AT712" s="7380"/>
      <c r="AU712" s="7381"/>
      <c r="AV712" s="7380"/>
      <c r="AW712" s="7381"/>
      <c r="AX712" s="7380"/>
      <c r="AY712" s="7380"/>
      <c r="AZ712" s="7380"/>
      <c r="BA712" s="7380"/>
      <c r="BB712" s="7385"/>
      <c r="BC712" s="2260"/>
      <c r="BD712" s="1648"/>
      <c r="BE712" s="1630"/>
      <c r="BF712" s="1630"/>
      <c r="BG712" s="1630"/>
      <c r="BH712" s="1630"/>
      <c r="BI712" s="1641">
        <v>0</v>
      </c>
    </row>
    <row customHeight="1" ht="14.25">
      <c r="A713" s="1369"/>
      <c r="B713" s="1369"/>
      <c r="C713" s="1369"/>
      <c r="D713" s="1369"/>
      <c r="E713" s="2265"/>
      <c r="F713" s="2265"/>
      <c r="G713" s="2265"/>
      <c r="H713" s="2265"/>
      <c r="I713" s="2292"/>
      <c r="J713" s="2292"/>
      <c r="K713" s="2262"/>
      <c r="L713" s="1375"/>
      <c r="M713" s="1782"/>
      <c r="N713" s="1782"/>
      <c r="O713" s="1782"/>
      <c r="P713" s="2380"/>
      <c r="Q713" s="2380"/>
      <c r="R713" s="2353"/>
      <c r="S713" s="2348"/>
      <c r="T713" s="2367"/>
      <c r="U713" s="306"/>
      <c r="V713" s="7380"/>
      <c r="W713" s="7381"/>
      <c r="X713" s="7380"/>
      <c r="Y713" s="7381"/>
      <c r="Z713" s="7380"/>
      <c r="AA713" s="7380"/>
      <c r="AB713" s="7380"/>
      <c r="AC713" s="7380"/>
      <c r="AD713" s="2192"/>
      <c r="AE713" s="2332"/>
      <c r="AF713" s="2443"/>
      <c r="AG713" s="2369"/>
      <c r="AH713" s="2113"/>
      <c r="AI713" s="2332"/>
      <c r="AJ713" s="2443" t="s">
        <v>112</v>
      </c>
      <c r="AK713" s="2333"/>
      <c r="AL713" s="2113"/>
      <c r="AM713" s="7382"/>
      <c r="AN713" s="7386"/>
      <c r="AO713" s="7550" t="s">
        <v>516</v>
      </c>
      <c r="AP713" s="7383"/>
      <c r="AQ713" s="7383"/>
      <c r="AR713" s="7383"/>
      <c r="AS713" s="7380"/>
      <c r="AT713" s="7380"/>
      <c r="AU713" s="7381"/>
      <c r="AV713" s="7380"/>
      <c r="AW713" s="7381"/>
      <c r="AX713" s="7380"/>
      <c r="AY713" s="7380"/>
      <c r="AZ713" s="7380"/>
      <c r="BA713" s="7380"/>
      <c r="BB713" s="7385"/>
      <c r="BC713" s="2260"/>
      <c r="BD713" s="1648"/>
      <c r="BE713" s="1630"/>
      <c r="BF713" s="1630"/>
      <c r="BG713" s="1630"/>
      <c r="BH713" s="1630"/>
      <c r="BI713" s="1641">
        <v>0</v>
      </c>
    </row>
    <row customHeight="1" ht="14.25">
      <c r="A714" s="1369"/>
      <c r="B714" s="1369"/>
      <c r="C714" s="1369"/>
      <c r="D714" s="1369"/>
      <c r="E714" s="2265"/>
      <c r="F714" s="2265"/>
      <c r="G714" s="2265"/>
      <c r="H714" s="2265"/>
      <c r="I714" s="2292"/>
      <c r="J714" s="2292"/>
      <c r="K714" s="2262" t="str">
        <f>S709&amp;".1"</f>
        <v>.1</v>
      </c>
      <c r="L714" s="1375"/>
      <c r="M714" s="1782"/>
      <c r="N714" s="1782"/>
      <c r="O714" s="1782"/>
      <c r="P714" s="2380"/>
      <c r="Q714" s="2380"/>
      <c r="R714" s="2353">
        <v>1</v>
      </c>
      <c r="S714" s="2347" t="str">
        <f>$K714</f>
        <v>.1</v>
      </c>
      <c r="T714" s="2366"/>
      <c r="U714" s="306"/>
      <c r="V714" s="757"/>
      <c r="W714" s="1263"/>
      <c r="X714" s="757"/>
      <c r="Y714" s="1263"/>
      <c r="Z714" s="2608"/>
      <c r="AA714" s="2113" t="s">
        <v>62</v>
      </c>
      <c r="AB714" s="2608"/>
      <c r="AC714" s="2113" t="s">
        <v>62</v>
      </c>
      <c r="AD714" s="2191" t="s">
        <v>62</v>
      </c>
      <c r="AE714" s="2332"/>
      <c r="AF714" s="2443">
        <v>1</v>
      </c>
      <c r="AG714" s="2369"/>
      <c r="AH714" s="2113" t="s">
        <v>62</v>
      </c>
      <c r="AI714" s="689" t="s">
        <v>253</v>
      </c>
      <c r="AJ714" s="2443" t="s">
        <v>92</v>
      </c>
      <c r="AK714" s="2333" t="s">
        <v>535</v>
      </c>
      <c r="AL714" s="2113" t="s">
        <v>19</v>
      </c>
      <c r="AM714" s="2300"/>
      <c r="AN714" s="2443">
        <v>1</v>
      </c>
      <c r="AO714" s="3340" t="s">
        <v>28</v>
      </c>
      <c r="AP714" s="2364" t="s">
        <v>62</v>
      </c>
      <c r="AQ714" s="317"/>
      <c r="AR714" s="2443">
        <v>1</v>
      </c>
      <c r="AS714" s="2582" t="s">
        <v>541</v>
      </c>
      <c r="AT714" s="757"/>
      <c r="AU714" s="1263"/>
      <c r="AV714" s="757"/>
      <c r="AW714" s="1263">
        <v>36165.4</v>
      </c>
      <c r="AX714" s="2608">
        <v>46023.38814814815</v>
      </c>
      <c r="AY714" s="2113" t="s">
        <v>62</v>
      </c>
      <c r="AZ714" s="2608">
        <v>46387.40414351852</v>
      </c>
      <c r="BA714" s="2113" t="s">
        <v>62</v>
      </c>
      <c r="BB714" s="1354"/>
      <c r="BC714" s="2259" t="s">
        <v>514</v>
      </c>
      <c r="BD714" s="1648"/>
      <c r="BE714" s="1630"/>
      <c r="BF714" s="1630" t="str">
        <f>IF(T714="","",T714)</f>
        <v/>
      </c>
      <c r="BG714" s="1630"/>
      <c r="BH714" s="1630"/>
      <c r="BI714" s="1641">
        <v>0</v>
      </c>
    </row>
    <row customHeight="1" ht="14.25">
      <c r="A715" s="1369"/>
      <c r="B715" s="1369"/>
      <c r="C715" s="1369"/>
      <c r="D715" s="1369"/>
      <c r="E715" s="2265"/>
      <c r="F715" s="2265"/>
      <c r="G715" s="2265"/>
      <c r="H715" s="2265"/>
      <c r="I715" s="2292"/>
      <c r="J715" s="2292"/>
      <c r="K715" s="2262" t="str">
        <f>S711&amp;".1"</f>
        <v>.1.1.1.1</v>
      </c>
      <c r="L715" s="1375"/>
      <c r="M715" s="1782"/>
      <c r="N715" s="1782"/>
      <c r="O715" s="1782"/>
      <c r="P715" s="2380"/>
      <c r="Q715" s="2380"/>
      <c r="R715" s="2353">
        <v>1</v>
      </c>
      <c r="S715" s="2347" t="str">
        <f>$K715</f>
        <v>.1.1.1.1</v>
      </c>
      <c r="T715" s="2366"/>
      <c r="U715" s="306"/>
      <c r="V715" s="757"/>
      <c r="W715" s="1263"/>
      <c r="X715" s="757"/>
      <c r="Y715" s="1263"/>
      <c r="Z715" s="2608"/>
      <c r="AA715" s="2113" t="s">
        <v>62</v>
      </c>
      <c r="AB715" s="2608"/>
      <c r="AC715" s="2113" t="s">
        <v>62</v>
      </c>
      <c r="AD715" s="2191" t="s">
        <v>62</v>
      </c>
      <c r="AE715" s="2332"/>
      <c r="AF715" s="2443">
        <v>1</v>
      </c>
      <c r="AG715" s="2369"/>
      <c r="AH715" s="2113" t="s">
        <v>62</v>
      </c>
      <c r="AI715" s="2332"/>
      <c r="AJ715" s="2443">
        <v>1</v>
      </c>
      <c r="AK715" s="2333" t="s">
        <v>28</v>
      </c>
      <c r="AL715" s="2113" t="s">
        <v>62</v>
      </c>
      <c r="AM715" s="2300"/>
      <c r="AN715" s="2443">
        <v>1</v>
      </c>
      <c r="AO715" s="2363"/>
      <c r="AP715" s="2364" t="s">
        <v>62</v>
      </c>
      <c r="AQ715" s="689" t="s">
        <v>253</v>
      </c>
      <c r="AR715" s="2443" t="s">
        <v>112</v>
      </c>
      <c r="AS715" s="2582" t="s">
        <v>541</v>
      </c>
      <c r="AT715" s="757"/>
      <c r="AU715" s="1263"/>
      <c r="AV715" s="757"/>
      <c r="AW715" s="1263">
        <v>38504.64</v>
      </c>
      <c r="AX715" s="2608">
        <v>46023.38818287037</v>
      </c>
      <c r="AY715" s="2113" t="s">
        <v>62</v>
      </c>
      <c r="AZ715" s="2608">
        <v>46387.40420138889</v>
      </c>
      <c r="BA715" s="2113" t="s">
        <v>62</v>
      </c>
      <c r="BB715" s="1354"/>
      <c r="BC715" s="2259" t="s">
        <v>514</v>
      </c>
      <c r="BD715" s="1648"/>
      <c r="BE715" s="1630"/>
      <c r="BF715" s="1630" t="str">
        <f>IF(T715="","",T715)</f>
        <v/>
      </c>
      <c r="BG715" s="1630"/>
      <c r="BH715" s="1630"/>
      <c r="BI715" s="1641">
        <v>0</v>
      </c>
    </row>
    <row customHeight="1" ht="14.25">
      <c r="A716" s="1369"/>
      <c r="B716" s="1369"/>
      <c r="C716" s="1369"/>
      <c r="D716" s="1369"/>
      <c r="E716" s="2265"/>
      <c r="F716" s="2265"/>
      <c r="G716" s="2265"/>
      <c r="H716" s="2265"/>
      <c r="I716" s="2292"/>
      <c r="J716" s="2292"/>
      <c r="K716" s="2262"/>
      <c r="L716" s="1375"/>
      <c r="M716" s="1782"/>
      <c r="N716" s="1782"/>
      <c r="O716" s="1782"/>
      <c r="P716" s="2380"/>
      <c r="Q716" s="2380"/>
      <c r="R716" s="2353"/>
      <c r="S716" s="2348"/>
      <c r="T716" s="2367"/>
      <c r="U716" s="306"/>
      <c r="V716" s="7380"/>
      <c r="W716" s="7381"/>
      <c r="X716" s="7380"/>
      <c r="Y716" s="7381"/>
      <c r="Z716" s="7380"/>
      <c r="AA716" s="7380"/>
      <c r="AB716" s="7380"/>
      <c r="AC716" s="7380"/>
      <c r="AD716" s="2192"/>
      <c r="AE716" s="2332"/>
      <c r="AF716" s="2443"/>
      <c r="AG716" s="2369"/>
      <c r="AH716" s="2113"/>
      <c r="AI716" s="2332"/>
      <c r="AJ716" s="2443" t="s">
        <v>91</v>
      </c>
      <c r="AK716" s="2333"/>
      <c r="AL716" s="2113"/>
      <c r="AM716" s="2301"/>
      <c r="AN716" s="2443"/>
      <c r="AO716" s="3340" t="s">
        <v>28</v>
      </c>
      <c r="AP716" s="2365"/>
      <c r="AQ716" s="7382"/>
      <c r="AR716" s="7383"/>
      <c r="AS716" s="7551" t="s">
        <v>515</v>
      </c>
      <c r="AT716" s="7380"/>
      <c r="AU716" s="7381"/>
      <c r="AV716" s="7380"/>
      <c r="AW716" s="7381"/>
      <c r="AX716" s="7380"/>
      <c r="AY716" s="7380"/>
      <c r="AZ716" s="7380"/>
      <c r="BA716" s="7380"/>
      <c r="BB716" s="7385"/>
      <c r="BC716" s="2260"/>
      <c r="BD716" s="1648"/>
      <c r="BE716" s="1630"/>
      <c r="BF716" s="1630"/>
      <c r="BG716" s="1630"/>
      <c r="BH716" s="1630"/>
      <c r="BI716" s="1641">
        <v>0</v>
      </c>
    </row>
    <row customHeight="1" ht="14.25">
      <c r="A717" s="1369"/>
      <c r="B717" s="1369"/>
      <c r="C717" s="1369"/>
      <c r="D717" s="1369"/>
      <c r="E717" s="2265"/>
      <c r="F717" s="2265"/>
      <c r="G717" s="2265"/>
      <c r="H717" s="2265"/>
      <c r="I717" s="2292"/>
      <c r="J717" s="2292"/>
      <c r="K717" s="2262"/>
      <c r="L717" s="1375"/>
      <c r="M717" s="1782"/>
      <c r="N717" s="1782"/>
      <c r="O717" s="1782"/>
      <c r="P717" s="2380"/>
      <c r="Q717" s="2380"/>
      <c r="R717" s="2353"/>
      <c r="S717" s="2348"/>
      <c r="T717" s="2367"/>
      <c r="U717" s="306"/>
      <c r="V717" s="7380"/>
      <c r="W717" s="7381"/>
      <c r="X717" s="7380"/>
      <c r="Y717" s="7381"/>
      <c r="Z717" s="7380"/>
      <c r="AA717" s="7380"/>
      <c r="AB717" s="7380"/>
      <c r="AC717" s="7380"/>
      <c r="AD717" s="2192"/>
      <c r="AE717" s="2332"/>
      <c r="AF717" s="2443"/>
      <c r="AG717" s="2369"/>
      <c r="AH717" s="2113"/>
      <c r="AI717" s="2332"/>
      <c r="AJ717" s="2443" t="s">
        <v>91</v>
      </c>
      <c r="AK717" s="2333"/>
      <c r="AL717" s="2113"/>
      <c r="AM717" s="7382"/>
      <c r="AN717" s="7386"/>
      <c r="AO717" s="7552" t="s">
        <v>516</v>
      </c>
      <c r="AP717" s="7383"/>
      <c r="AQ717" s="7383"/>
      <c r="AR717" s="7383"/>
      <c r="AS717" s="7380"/>
      <c r="AT717" s="7380"/>
      <c r="AU717" s="7381"/>
      <c r="AV717" s="7380"/>
      <c r="AW717" s="7381"/>
      <c r="AX717" s="7380"/>
      <c r="AY717" s="7380"/>
      <c r="AZ717" s="7380"/>
      <c r="BA717" s="7380"/>
      <c r="BB717" s="7385"/>
      <c r="BC717" s="2260"/>
      <c r="BD717" s="1648"/>
      <c r="BE717" s="1630"/>
      <c r="BF717" s="1630"/>
      <c r="BG717" s="1630"/>
      <c r="BH717" s="1630"/>
      <c r="BI717" s="1641">
        <v>0</v>
      </c>
    </row>
    <row customHeight="1" ht="14.25">
      <c r="A718" s="1369"/>
      <c r="B718" s="1369"/>
      <c r="C718" s="1369"/>
      <c r="D718" s="1369"/>
      <c r="E718" s="2265"/>
      <c r="F718" s="2265"/>
      <c r="G718" s="2265"/>
      <c r="H718" s="2265"/>
      <c r="I718" s="2292"/>
      <c r="J718" s="2292"/>
      <c r="K718" s="2262" t="str">
        <f>S713&amp;".1"</f>
        <v>.1</v>
      </c>
      <c r="L718" s="1375"/>
      <c r="M718" s="1782"/>
      <c r="N718" s="1782"/>
      <c r="O718" s="1782"/>
      <c r="P718" s="2380"/>
      <c r="Q718" s="2380"/>
      <c r="R718" s="2353">
        <v>1</v>
      </c>
      <c r="S718" s="2347" t="str">
        <f>$K718</f>
        <v>.1</v>
      </c>
      <c r="T718" s="2366"/>
      <c r="U718" s="306"/>
      <c r="V718" s="757"/>
      <c r="W718" s="1263"/>
      <c r="X718" s="757"/>
      <c r="Y718" s="1263"/>
      <c r="Z718" s="2608"/>
      <c r="AA718" s="2113" t="s">
        <v>62</v>
      </c>
      <c r="AB718" s="2608"/>
      <c r="AC718" s="2113" t="s">
        <v>62</v>
      </c>
      <c r="AD718" s="2191" t="s">
        <v>62</v>
      </c>
      <c r="AE718" s="2332"/>
      <c r="AF718" s="2443">
        <v>1</v>
      </c>
      <c r="AG718" s="2369"/>
      <c r="AH718" s="2113" t="s">
        <v>62</v>
      </c>
      <c r="AI718" s="689" t="s">
        <v>253</v>
      </c>
      <c r="AJ718" s="2443" t="s">
        <v>113</v>
      </c>
      <c r="AK718" s="2333" t="s">
        <v>536</v>
      </c>
      <c r="AL718" s="2113" t="s">
        <v>19</v>
      </c>
      <c r="AM718" s="2300"/>
      <c r="AN718" s="2443">
        <v>1</v>
      </c>
      <c r="AO718" s="3340" t="s">
        <v>28</v>
      </c>
      <c r="AP718" s="2364" t="s">
        <v>62</v>
      </c>
      <c r="AQ718" s="317"/>
      <c r="AR718" s="2443">
        <v>1</v>
      </c>
      <c r="AS718" s="2582" t="s">
        <v>541</v>
      </c>
      <c r="AT718" s="757"/>
      <c r="AU718" s="1263"/>
      <c r="AV718" s="757"/>
      <c r="AW718" s="1263">
        <v>42714.5</v>
      </c>
      <c r="AX718" s="2608">
        <v>46023.38821759259</v>
      </c>
      <c r="AY718" s="2113" t="s">
        <v>62</v>
      </c>
      <c r="AZ718" s="2608">
        <v>46387.404270833336</v>
      </c>
      <c r="BA718" s="2113" t="s">
        <v>62</v>
      </c>
      <c r="BB718" s="1354"/>
      <c r="BC718" s="2259" t="s">
        <v>514</v>
      </c>
      <c r="BD718" s="1648"/>
      <c r="BE718" s="1630"/>
      <c r="BF718" s="1630" t="str">
        <f>IF(T718="","",T718)</f>
        <v/>
      </c>
      <c r="BG718" s="1630"/>
      <c r="BH718" s="1630"/>
      <c r="BI718" s="1641">
        <v>0</v>
      </c>
    </row>
    <row customHeight="1" ht="14.25">
      <c r="A719" s="1369"/>
      <c r="B719" s="1369"/>
      <c r="C719" s="1369"/>
      <c r="D719" s="1369"/>
      <c r="E719" s="2265"/>
      <c r="F719" s="2265"/>
      <c r="G719" s="2265"/>
      <c r="H719" s="2265"/>
      <c r="I719" s="2292"/>
      <c r="J719" s="2292"/>
      <c r="K719" s="2262"/>
      <c r="L719" s="1375"/>
      <c r="M719" s="1782"/>
      <c r="N719" s="1782"/>
      <c r="O719" s="1782"/>
      <c r="P719" s="2380"/>
      <c r="Q719" s="2380"/>
      <c r="R719" s="2353"/>
      <c r="S719" s="2348"/>
      <c r="T719" s="2367"/>
      <c r="U719" s="306"/>
      <c r="V719" s="7380"/>
      <c r="W719" s="7381"/>
      <c r="X719" s="7380"/>
      <c r="Y719" s="7381"/>
      <c r="Z719" s="7380"/>
      <c r="AA719" s="7380"/>
      <c r="AB719" s="7380"/>
      <c r="AC719" s="7380"/>
      <c r="AD719" s="2192"/>
      <c r="AE719" s="2332"/>
      <c r="AF719" s="2443"/>
      <c r="AG719" s="2369"/>
      <c r="AH719" s="2113"/>
      <c r="AI719" s="2332"/>
      <c r="AJ719" s="2443" t="s">
        <v>92</v>
      </c>
      <c r="AK719" s="2333"/>
      <c r="AL719" s="2113"/>
      <c r="AM719" s="2301"/>
      <c r="AN719" s="2443"/>
      <c r="AO719" s="3340" t="s">
        <v>28</v>
      </c>
      <c r="AP719" s="2365"/>
      <c r="AQ719" s="7382"/>
      <c r="AR719" s="7383"/>
      <c r="AS719" s="7553" t="s">
        <v>515</v>
      </c>
      <c r="AT719" s="7380"/>
      <c r="AU719" s="7381"/>
      <c r="AV719" s="7380"/>
      <c r="AW719" s="7381"/>
      <c r="AX719" s="7380"/>
      <c r="AY719" s="7380"/>
      <c r="AZ719" s="7380"/>
      <c r="BA719" s="7380"/>
      <c r="BB719" s="7385"/>
      <c r="BC719" s="2260"/>
      <c r="BD719" s="1648"/>
      <c r="BE719" s="1630"/>
      <c r="BF719" s="1630"/>
      <c r="BG719" s="1630"/>
      <c r="BH719" s="1630"/>
      <c r="BI719" s="1641">
        <v>0</v>
      </c>
    </row>
    <row customHeight="1" ht="14.25">
      <c r="A720" s="1369"/>
      <c r="B720" s="1369"/>
      <c r="C720" s="1369"/>
      <c r="D720" s="1369"/>
      <c r="E720" s="2265"/>
      <c r="F720" s="2265"/>
      <c r="G720" s="2265"/>
      <c r="H720" s="2265"/>
      <c r="I720" s="2292"/>
      <c r="J720" s="2292"/>
      <c r="K720" s="2262"/>
      <c r="L720" s="1375"/>
      <c r="M720" s="1782"/>
      <c r="N720" s="1782"/>
      <c r="O720" s="1782"/>
      <c r="P720" s="2380"/>
      <c r="Q720" s="2380"/>
      <c r="R720" s="2353"/>
      <c r="S720" s="2348"/>
      <c r="T720" s="2367"/>
      <c r="U720" s="306"/>
      <c r="V720" s="7380"/>
      <c r="W720" s="7381"/>
      <c r="X720" s="7380"/>
      <c r="Y720" s="7381"/>
      <c r="Z720" s="7380"/>
      <c r="AA720" s="7380"/>
      <c r="AB720" s="7380"/>
      <c r="AC720" s="7380"/>
      <c r="AD720" s="2192"/>
      <c r="AE720" s="2332"/>
      <c r="AF720" s="2443"/>
      <c r="AG720" s="2369"/>
      <c r="AH720" s="2113"/>
      <c r="AI720" s="2332"/>
      <c r="AJ720" s="2443" t="s">
        <v>92</v>
      </c>
      <c r="AK720" s="2333"/>
      <c r="AL720" s="2113"/>
      <c r="AM720" s="7382"/>
      <c r="AN720" s="7386"/>
      <c r="AO720" s="7554" t="s">
        <v>516</v>
      </c>
      <c r="AP720" s="7383"/>
      <c r="AQ720" s="7383"/>
      <c r="AR720" s="7383"/>
      <c r="AS720" s="7380"/>
      <c r="AT720" s="7380"/>
      <c r="AU720" s="7381"/>
      <c r="AV720" s="7380"/>
      <c r="AW720" s="7381"/>
      <c r="AX720" s="7380"/>
      <c r="AY720" s="7380"/>
      <c r="AZ720" s="7380"/>
      <c r="BA720" s="7380"/>
      <c r="BB720" s="7385"/>
      <c r="BC720" s="2260"/>
      <c r="BD720" s="1648"/>
      <c r="BE720" s="1630"/>
      <c r="BF720" s="1630"/>
      <c r="BG720" s="1630"/>
      <c r="BH720" s="1630"/>
      <c r="BI720" s="1641">
        <v>0</v>
      </c>
    </row>
    <row customHeight="1" ht="14.25">
      <c r="A721" s="1369"/>
      <c r="B721" s="1369"/>
      <c r="C721" s="1369"/>
      <c r="D721" s="1369"/>
      <c r="E721" s="2265"/>
      <c r="F721" s="2265"/>
      <c r="G721" s="2265"/>
      <c r="H721" s="2265"/>
      <c r="I721" s="2292"/>
      <c r="J721" s="2292"/>
      <c r="K721" s="2262" t="str">
        <f>S717&amp;".1"</f>
        <v>.1</v>
      </c>
      <c r="L721" s="1375"/>
      <c r="M721" s="1782"/>
      <c r="N721" s="1782"/>
      <c r="O721" s="1782"/>
      <c r="P721" s="2380"/>
      <c r="Q721" s="2380"/>
      <c r="R721" s="2353">
        <v>1</v>
      </c>
      <c r="S721" s="2347" t="str">
        <f>$K721</f>
        <v>.1</v>
      </c>
      <c r="T721" s="2366"/>
      <c r="U721" s="306"/>
      <c r="V721" s="757"/>
      <c r="W721" s="1263"/>
      <c r="X721" s="757"/>
      <c r="Y721" s="1263"/>
      <c r="Z721" s="2608"/>
      <c r="AA721" s="2113" t="s">
        <v>62</v>
      </c>
      <c r="AB721" s="2608"/>
      <c r="AC721" s="2113" t="s">
        <v>62</v>
      </c>
      <c r="AD721" s="2191" t="s">
        <v>62</v>
      </c>
      <c r="AE721" s="2332"/>
      <c r="AF721" s="2443">
        <v>1</v>
      </c>
      <c r="AG721" s="2369"/>
      <c r="AH721" s="2113" t="s">
        <v>62</v>
      </c>
      <c r="AI721" s="689" t="s">
        <v>253</v>
      </c>
      <c r="AJ721" s="2443" t="s">
        <v>93</v>
      </c>
      <c r="AK721" s="2333" t="s">
        <v>537</v>
      </c>
      <c r="AL721" s="2113" t="s">
        <v>19</v>
      </c>
      <c r="AM721" s="2300"/>
      <c r="AN721" s="2443">
        <v>1</v>
      </c>
      <c r="AO721" s="3340" t="s">
        <v>28</v>
      </c>
      <c r="AP721" s="2364" t="s">
        <v>62</v>
      </c>
      <c r="AQ721" s="317"/>
      <c r="AR721" s="2443">
        <v>1</v>
      </c>
      <c r="AS721" s="2582" t="s">
        <v>541</v>
      </c>
      <c r="AT721" s="757"/>
      <c r="AU721" s="1263"/>
      <c r="AV721" s="757"/>
      <c r="AW721" s="1263">
        <v>55230.12</v>
      </c>
      <c r="AX721" s="2608">
        <v>46023.38827546296</v>
      </c>
      <c r="AY721" s="2113" t="s">
        <v>62</v>
      </c>
      <c r="AZ721" s="2608">
        <v>46387.404340277775</v>
      </c>
      <c r="BA721" s="2113" t="s">
        <v>62</v>
      </c>
      <c r="BB721" s="1354"/>
      <c r="BC721" s="2259" t="s">
        <v>514</v>
      </c>
      <c r="BD721" s="1648"/>
      <c r="BE721" s="1630"/>
      <c r="BF721" s="1630" t="str">
        <f>IF(T721="","",T721)</f>
        <v/>
      </c>
      <c r="BG721" s="1630"/>
      <c r="BH721" s="1630"/>
      <c r="BI721" s="1641">
        <v>0</v>
      </c>
    </row>
    <row customHeight="1" ht="14.25">
      <c r="A722" s="1369"/>
      <c r="B722" s="1369"/>
      <c r="C722" s="1369"/>
      <c r="D722" s="1369"/>
      <c r="E722" s="2265"/>
      <c r="F722" s="2265"/>
      <c r="G722" s="2265"/>
      <c r="H722" s="2265"/>
      <c r="I722" s="2292"/>
      <c r="J722" s="2292"/>
      <c r="K722" s="2262"/>
      <c r="L722" s="1375"/>
      <c r="M722" s="1782"/>
      <c r="N722" s="1782"/>
      <c r="O722" s="1782"/>
      <c r="P722" s="2380"/>
      <c r="Q722" s="2380"/>
      <c r="R722" s="2353"/>
      <c r="S722" s="2348"/>
      <c r="T722" s="2367"/>
      <c r="U722" s="306"/>
      <c r="V722" s="7380"/>
      <c r="W722" s="7381"/>
      <c r="X722" s="7380"/>
      <c r="Y722" s="7381"/>
      <c r="Z722" s="7380"/>
      <c r="AA722" s="7380"/>
      <c r="AB722" s="7380"/>
      <c r="AC722" s="7380"/>
      <c r="AD722" s="2192"/>
      <c r="AE722" s="2332"/>
      <c r="AF722" s="2443"/>
      <c r="AG722" s="2369"/>
      <c r="AH722" s="2113"/>
      <c r="AI722" s="2332"/>
      <c r="AJ722" s="2443" t="s">
        <v>113</v>
      </c>
      <c r="AK722" s="2333"/>
      <c r="AL722" s="2113"/>
      <c r="AM722" s="2301"/>
      <c r="AN722" s="2443"/>
      <c r="AO722" s="3340" t="s">
        <v>28</v>
      </c>
      <c r="AP722" s="2365"/>
      <c r="AQ722" s="7382"/>
      <c r="AR722" s="7383"/>
      <c r="AS722" s="7555" t="s">
        <v>515</v>
      </c>
      <c r="AT722" s="7380"/>
      <c r="AU722" s="7381"/>
      <c r="AV722" s="7380"/>
      <c r="AW722" s="7381"/>
      <c r="AX722" s="7380"/>
      <c r="AY722" s="7380"/>
      <c r="AZ722" s="7380"/>
      <c r="BA722" s="7380"/>
      <c r="BB722" s="7385"/>
      <c r="BC722" s="2260"/>
      <c r="BD722" s="1648"/>
      <c r="BE722" s="1630"/>
      <c r="BF722" s="1630"/>
      <c r="BG722" s="1630"/>
      <c r="BH722" s="1630"/>
      <c r="BI722" s="1641">
        <v>0</v>
      </c>
    </row>
    <row customHeight="1" ht="14.25">
      <c r="A723" s="1369"/>
      <c r="B723" s="1369"/>
      <c r="C723" s="1369"/>
      <c r="D723" s="1369"/>
      <c r="E723" s="2265"/>
      <c r="F723" s="2265"/>
      <c r="G723" s="2265"/>
      <c r="H723" s="2265"/>
      <c r="I723" s="2292"/>
      <c r="J723" s="2292"/>
      <c r="K723" s="2262"/>
      <c r="L723" s="1375"/>
      <c r="M723" s="1782"/>
      <c r="N723" s="1782"/>
      <c r="O723" s="1782"/>
      <c r="P723" s="2380"/>
      <c r="Q723" s="2380"/>
      <c r="R723" s="2353"/>
      <c r="S723" s="2348"/>
      <c r="T723" s="2367"/>
      <c r="U723" s="306"/>
      <c r="V723" s="7380"/>
      <c r="W723" s="7381"/>
      <c r="X723" s="7380"/>
      <c r="Y723" s="7381"/>
      <c r="Z723" s="7380"/>
      <c r="AA723" s="7380"/>
      <c r="AB723" s="7380"/>
      <c r="AC723" s="7380"/>
      <c r="AD723" s="2192"/>
      <c r="AE723" s="2332"/>
      <c r="AF723" s="2443"/>
      <c r="AG723" s="2369"/>
      <c r="AH723" s="2113"/>
      <c r="AI723" s="2332"/>
      <c r="AJ723" s="2443" t="s">
        <v>113</v>
      </c>
      <c r="AK723" s="2333"/>
      <c r="AL723" s="2113"/>
      <c r="AM723" s="7382"/>
      <c r="AN723" s="7386"/>
      <c r="AO723" s="7556" t="s">
        <v>516</v>
      </c>
      <c r="AP723" s="7383"/>
      <c r="AQ723" s="7383"/>
      <c r="AR723" s="7383"/>
      <c r="AS723" s="7380"/>
      <c r="AT723" s="7380"/>
      <c r="AU723" s="7381"/>
      <c r="AV723" s="7380"/>
      <c r="AW723" s="7381"/>
      <c r="AX723" s="7380"/>
      <c r="AY723" s="7380"/>
      <c r="AZ723" s="7380"/>
      <c r="BA723" s="7380"/>
      <c r="BB723" s="7385"/>
      <c r="BC723" s="2260"/>
      <c r="BD723" s="1648"/>
      <c r="BE723" s="1630"/>
      <c r="BF723" s="1630"/>
      <c r="BG723" s="1630"/>
      <c r="BH723" s="1630"/>
      <c r="BI723" s="1641">
        <v>0</v>
      </c>
    </row>
    <row customHeight="1" ht="14.25">
      <c r="A724" s="1369"/>
      <c r="B724" s="1369"/>
      <c r="C724" s="1369"/>
      <c r="D724" s="1369"/>
      <c r="E724" s="2265"/>
      <c r="F724" s="2265"/>
      <c r="G724" s="2265"/>
      <c r="H724" s="2265"/>
      <c r="I724" s="2292"/>
      <c r="J724" s="2292"/>
      <c r="K724" s="2262" t="str">
        <f>S450&amp;".9"</f>
        <v>3.1.1.9</v>
      </c>
      <c r="L724" s="1375"/>
      <c r="M724" s="1782"/>
      <c r="N724" s="1782"/>
      <c r="O724" s="1782"/>
      <c r="P724" s="2380"/>
      <c r="Q724" s="2380"/>
      <c r="R724" s="2353"/>
      <c r="S724" s="2348"/>
      <c r="T724" s="2367"/>
      <c r="U724" s="306"/>
      <c r="V724" s="7380"/>
      <c r="W724" s="7381"/>
      <c r="X724" s="7380"/>
      <c r="Y724" s="7381"/>
      <c r="Z724" s="7380"/>
      <c r="AA724" s="7380"/>
      <c r="AB724" s="7380"/>
      <c r="AC724" s="7380"/>
      <c r="AD724" s="2192"/>
      <c r="AE724" s="2332"/>
      <c r="AF724" s="2443"/>
      <c r="AG724" s="3339" t="s">
        <v>28</v>
      </c>
      <c r="AH724" s="2113"/>
      <c r="AI724" s="7408"/>
      <c r="AJ724" s="7409"/>
      <c r="AK724" s="7557" t="s">
        <v>517</v>
      </c>
      <c r="AL724" s="7380"/>
      <c r="AM724" s="7380"/>
      <c r="AN724" s="7380"/>
      <c r="AO724" s="7380"/>
      <c r="AP724" s="7380"/>
      <c r="AQ724" s="7380"/>
      <c r="AR724" s="7380"/>
      <c r="AS724" s="7380"/>
      <c r="AT724" s="7380"/>
      <c r="AU724" s="7381"/>
      <c r="AV724" s="7380"/>
      <c r="AW724" s="7381"/>
      <c r="AX724" s="7380"/>
      <c r="AY724" s="7380"/>
      <c r="AZ724" s="7380"/>
      <c r="BA724" s="7380"/>
      <c r="BB724" s="7385"/>
      <c r="BC724" s="2260"/>
      <c r="BD724" s="1648"/>
      <c r="BE724" s="1630"/>
      <c r="BF724" s="1630"/>
      <c r="BG724" s="1630"/>
      <c r="BH724" s="1630"/>
      <c r="BI724" s="1641">
        <v>0</v>
      </c>
    </row>
    <row customHeight="1" ht="14.25">
      <c r="A725" s="1369"/>
      <c r="B725" s="1369"/>
      <c r="C725" s="1369"/>
      <c r="D725" s="1369"/>
      <c r="E725" s="2265"/>
      <c r="F725" s="2265"/>
      <c r="G725" s="2265"/>
      <c r="H725" s="2265"/>
      <c r="I725" s="2292"/>
      <c r="J725" s="2292"/>
      <c r="K725" s="2262" t="str">
        <f>S450&amp;".9"</f>
        <v>3.1.1.9</v>
      </c>
      <c r="L725" s="1375"/>
      <c r="M725" s="1782"/>
      <c r="N725" s="1782"/>
      <c r="O725" s="1782"/>
      <c r="P725" s="2380"/>
      <c r="Q725" s="2380"/>
      <c r="R725" s="2353"/>
      <c r="S725" s="2349"/>
      <c r="T725" s="2368"/>
      <c r="U725" s="306"/>
      <c r="V725" s="7380"/>
      <c r="W725" s="7558" t="str">
        <f>Z702&amp;"-"&amp;AB702</f>
        <v>-</v>
      </c>
      <c r="X725" s="7380"/>
      <c r="Y725" s="7559" t="str">
        <f>AB702&amp;"-"&amp;AD702</f>
        <v>-нет</v>
      </c>
      <c r="Z725" s="7380"/>
      <c r="AA725" s="7380"/>
      <c r="AB725" s="7380"/>
      <c r="AC725" s="7380"/>
      <c r="AD725" s="2118"/>
      <c r="AE725" s="7413"/>
      <c r="AF725" s="7414"/>
      <c r="AG725" s="7560" t="s">
        <v>518</v>
      </c>
      <c r="AH725" s="7380"/>
      <c r="AI725" s="7380"/>
      <c r="AJ725" s="7380"/>
      <c r="AK725" s="7380"/>
      <c r="AL725" s="7380"/>
      <c r="AM725" s="7380"/>
      <c r="AN725" s="7380"/>
      <c r="AO725" s="7380"/>
      <c r="AP725" s="7380"/>
      <c r="AQ725" s="7380"/>
      <c r="AR725" s="7380"/>
      <c r="AS725" s="7380"/>
      <c r="AT725" s="7380"/>
      <c r="AU725" s="7561" t="str">
        <f>AX702&amp;"-"&amp;AZ702</f>
        <v>46023.38793981481-46387.40363425926</v>
      </c>
      <c r="AV725" s="7380"/>
      <c r="AW725" s="7562" t="str">
        <f>AZ702&amp;"-"&amp;BB702</f>
        <v>46387.40363425926-</v>
      </c>
      <c r="AX725" s="7380"/>
      <c r="AY725" s="7380"/>
      <c r="AZ725" s="7380"/>
      <c r="BA725" s="7380"/>
      <c r="BB725" s="7563" t="str">
        <f>BE702&amp;"-"&amp;BG702</f>
        <v>-</v>
      </c>
      <c r="BC725" s="2260"/>
      <c r="BD725" s="1648"/>
      <c r="BE725" s="1630"/>
      <c r="BF725" s="1630" t="str">
        <f>IF(T725="","",T725)</f>
        <v/>
      </c>
      <c r="BG725" s="1630"/>
      <c r="BH725" s="1630"/>
      <c r="BI725" s="1641">
        <v>0</v>
      </c>
    </row>
    <row customHeight="1" ht="14.25">
      <c r="A726" s="1369"/>
      <c r="B726" s="1369"/>
      <c r="C726" s="1369"/>
      <c r="D726" s="1369"/>
      <c r="E726" s="2265"/>
      <c r="F726" s="2265"/>
      <c r="G726" s="2265"/>
      <c r="H726" s="2265"/>
      <c r="I726" s="2292"/>
      <c r="J726" s="2292"/>
      <c r="K726" s="2262" t="str">
        <f>S450&amp;".11"</f>
        <v>3.1.1.11</v>
      </c>
      <c r="L726" s="1375"/>
      <c r="M726" s="1782"/>
      <c r="N726" s="1782"/>
      <c r="O726" s="1782"/>
      <c r="P726" s="2380"/>
      <c r="Q726" s="2380"/>
      <c r="R726" s="689" t="s">
        <v>253</v>
      </c>
      <c r="S726" s="2347" t="str">
        <f>$K726</f>
        <v>3.1.1.11</v>
      </c>
      <c r="T726" s="2366" t="s">
        <v>548</v>
      </c>
      <c r="U726" s="306"/>
      <c r="V726" s="757"/>
      <c r="W726" s="1263"/>
      <c r="X726" s="757"/>
      <c r="Y726" s="1263"/>
      <c r="Z726" s="2608"/>
      <c r="AA726" s="2113" t="s">
        <v>62</v>
      </c>
      <c r="AB726" s="2608"/>
      <c r="AC726" s="2113" t="s">
        <v>62</v>
      </c>
      <c r="AD726" s="2191" t="s">
        <v>19</v>
      </c>
      <c r="AE726" s="2332"/>
      <c r="AF726" s="2443">
        <v>1</v>
      </c>
      <c r="AG726" s="3339" t="s">
        <v>28</v>
      </c>
      <c r="AH726" s="2113" t="s">
        <v>62</v>
      </c>
      <c r="AI726" s="2332"/>
      <c r="AJ726" s="2443">
        <v>1</v>
      </c>
      <c r="AK726" s="2333" t="s">
        <v>532</v>
      </c>
      <c r="AL726" s="2113" t="s">
        <v>19</v>
      </c>
      <c r="AM726" s="2300"/>
      <c r="AN726" s="2443">
        <v>1</v>
      </c>
      <c r="AO726" s="3340" t="s">
        <v>28</v>
      </c>
      <c r="AP726" s="2364" t="s">
        <v>62</v>
      </c>
      <c r="AQ726" s="317"/>
      <c r="AR726" s="2443">
        <v>1</v>
      </c>
      <c r="AS726" s="2582" t="s">
        <v>541</v>
      </c>
      <c r="AT726" s="757"/>
      <c r="AU726" s="1263"/>
      <c r="AV726" s="757"/>
      <c r="AW726" s="1263">
        <v>11233.04</v>
      </c>
      <c r="AX726" s="2608">
        <v>46023.38832175926</v>
      </c>
      <c r="AY726" s="2113" t="s">
        <v>62</v>
      </c>
      <c r="AZ726" s="2608">
        <v>46387.40443287037</v>
      </c>
      <c r="BA726" s="2113" t="s">
        <v>62</v>
      </c>
      <c r="BB726" s="1354"/>
      <c r="BC726" s="2259" t="s">
        <v>514</v>
      </c>
      <c r="BD726" s="1648"/>
      <c r="BE726" s="1630"/>
      <c r="BF726" s="1630" t="str">
        <f>IF(T726="","",T726)</f>
        <v>Прокладка трубопроводов водоснабжения в непроходных каналах в изоляции из пенополиуретана (ППУ),с работай на отвале, диаметр труб:</v>
      </c>
      <c r="BG726" s="1630"/>
      <c r="BH726" s="1630"/>
      <c r="BI726" s="1641">
        <v>0</v>
      </c>
    </row>
    <row customHeight="1" ht="14.25">
      <c r="A727" s="1369"/>
      <c r="B727" s="1369"/>
      <c r="C727" s="1369"/>
      <c r="D727" s="1369"/>
      <c r="E727" s="2265"/>
      <c r="F727" s="2265"/>
      <c r="G727" s="2265"/>
      <c r="H727" s="2265"/>
      <c r="I727" s="2292"/>
      <c r="J727" s="2292"/>
      <c r="K727" s="2262" t="str">
        <f>S723&amp;".1"</f>
        <v>.1</v>
      </c>
      <c r="L727" s="1375"/>
      <c r="M727" s="1782"/>
      <c r="N727" s="1782"/>
      <c r="O727" s="1782"/>
      <c r="P727" s="2380"/>
      <c r="Q727" s="2380"/>
      <c r="R727" s="2353">
        <v>1</v>
      </c>
      <c r="S727" s="2347" t="str">
        <f>$K727</f>
        <v>.1</v>
      </c>
      <c r="T727" s="2366"/>
      <c r="U727" s="306"/>
      <c r="V727" s="757"/>
      <c r="W727" s="1263"/>
      <c r="X727" s="757"/>
      <c r="Y727" s="1263"/>
      <c r="Z727" s="2608"/>
      <c r="AA727" s="2113" t="s">
        <v>62</v>
      </c>
      <c r="AB727" s="2608"/>
      <c r="AC727" s="2113" t="s">
        <v>62</v>
      </c>
      <c r="AD727" s="2191" t="s">
        <v>62</v>
      </c>
      <c r="AE727" s="2332"/>
      <c r="AF727" s="2443">
        <v>1</v>
      </c>
      <c r="AG727" s="2369"/>
      <c r="AH727" s="2113" t="s">
        <v>62</v>
      </c>
      <c r="AI727" s="2332"/>
      <c r="AJ727" s="2443">
        <v>1</v>
      </c>
      <c r="AK727" s="2333" t="s">
        <v>28</v>
      </c>
      <c r="AL727" s="2113" t="s">
        <v>62</v>
      </c>
      <c r="AM727" s="2300"/>
      <c r="AN727" s="2443">
        <v>1</v>
      </c>
      <c r="AO727" s="2363"/>
      <c r="AP727" s="2364" t="s">
        <v>62</v>
      </c>
      <c r="AQ727" s="689" t="s">
        <v>253</v>
      </c>
      <c r="AR727" s="2443" t="s">
        <v>112</v>
      </c>
      <c r="AS727" s="2582" t="s">
        <v>541</v>
      </c>
      <c r="AT727" s="757"/>
      <c r="AU727" s="1263"/>
      <c r="AV727" s="757"/>
      <c r="AW727" s="1263">
        <v>14042.73</v>
      </c>
      <c r="AX727" s="2608">
        <v>46023.38836805556</v>
      </c>
      <c r="AY727" s="2113" t="s">
        <v>62</v>
      </c>
      <c r="AZ727" s="2608">
        <v>46387.40451388889</v>
      </c>
      <c r="BA727" s="2113" t="s">
        <v>62</v>
      </c>
      <c r="BB727" s="1354"/>
      <c r="BC727" s="2259" t="s">
        <v>514</v>
      </c>
      <c r="BD727" s="1648"/>
      <c r="BE727" s="1630"/>
      <c r="BF727" s="1630" t="str">
        <f>IF(T727="","",T727)</f>
        <v/>
      </c>
      <c r="BG727" s="1630"/>
      <c r="BH727" s="1630"/>
      <c r="BI727" s="1641">
        <v>0</v>
      </c>
    </row>
    <row customHeight="1" ht="14.25">
      <c r="A728" s="1369"/>
      <c r="B728" s="1369"/>
      <c r="C728" s="1369"/>
      <c r="D728" s="1369"/>
      <c r="E728" s="2265"/>
      <c r="F728" s="2265"/>
      <c r="G728" s="2265"/>
      <c r="H728" s="2265"/>
      <c r="I728" s="2292"/>
      <c r="J728" s="2292"/>
      <c r="K728" s="2262" t="str">
        <f>S450&amp;".10"</f>
        <v>3.1.1.10</v>
      </c>
      <c r="L728" s="1375"/>
      <c r="M728" s="1782"/>
      <c r="N728" s="1782"/>
      <c r="O728" s="1782"/>
      <c r="P728" s="2380"/>
      <c r="Q728" s="2380"/>
      <c r="R728" s="2353"/>
      <c r="S728" s="2348"/>
      <c r="T728" s="2367"/>
      <c r="U728" s="306"/>
      <c r="V728" s="7380"/>
      <c r="W728" s="7381"/>
      <c r="X728" s="7380"/>
      <c r="Y728" s="7381"/>
      <c r="Z728" s="7380"/>
      <c r="AA728" s="7380"/>
      <c r="AB728" s="7380"/>
      <c r="AC728" s="7380"/>
      <c r="AD728" s="2192"/>
      <c r="AE728" s="2332"/>
      <c r="AF728" s="2443"/>
      <c r="AG728" s="3339" t="s">
        <v>28</v>
      </c>
      <c r="AH728" s="2113"/>
      <c r="AI728" s="2332"/>
      <c r="AJ728" s="2443"/>
      <c r="AK728" s="2333"/>
      <c r="AL728" s="2113"/>
      <c r="AM728" s="2301"/>
      <c r="AN728" s="2443"/>
      <c r="AO728" s="3340" t="s">
        <v>28</v>
      </c>
      <c r="AP728" s="2365"/>
      <c r="AQ728" s="7382"/>
      <c r="AR728" s="7383"/>
      <c r="AS728" s="7564" t="s">
        <v>515</v>
      </c>
      <c r="AT728" s="7380"/>
      <c r="AU728" s="7381"/>
      <c r="AV728" s="7380"/>
      <c r="AW728" s="7381"/>
      <c r="AX728" s="7380"/>
      <c r="AY728" s="7380"/>
      <c r="AZ728" s="7380"/>
      <c r="BA728" s="7380"/>
      <c r="BB728" s="7385"/>
      <c r="BC728" s="2260"/>
      <c r="BD728" s="1648"/>
      <c r="BE728" s="1630"/>
      <c r="BF728" s="1630"/>
      <c r="BG728" s="1630"/>
      <c r="BH728" s="1630"/>
      <c r="BI728" s="1641">
        <v>0</v>
      </c>
    </row>
    <row customHeight="1" ht="14.25">
      <c r="A729" s="1369"/>
      <c r="B729" s="1369"/>
      <c r="C729" s="1369"/>
      <c r="D729" s="1369"/>
      <c r="E729" s="2265"/>
      <c r="F729" s="2265"/>
      <c r="G729" s="2265"/>
      <c r="H729" s="2265"/>
      <c r="I729" s="2292"/>
      <c r="J729" s="2292"/>
      <c r="K729" s="2262" t="str">
        <f>S450&amp;".10"</f>
        <v>3.1.1.10</v>
      </c>
      <c r="L729" s="1375"/>
      <c r="M729" s="1782"/>
      <c r="N729" s="1782"/>
      <c r="O729" s="1782"/>
      <c r="P729" s="2380"/>
      <c r="Q729" s="2380"/>
      <c r="R729" s="2353"/>
      <c r="S729" s="2348"/>
      <c r="T729" s="2367"/>
      <c r="U729" s="306"/>
      <c r="V729" s="7380"/>
      <c r="W729" s="7381"/>
      <c r="X729" s="7380"/>
      <c r="Y729" s="7381"/>
      <c r="Z729" s="7380"/>
      <c r="AA729" s="7380"/>
      <c r="AB729" s="7380"/>
      <c r="AC729" s="7380"/>
      <c r="AD729" s="2192"/>
      <c r="AE729" s="2332"/>
      <c r="AF729" s="2443"/>
      <c r="AG729" s="3339" t="s">
        <v>28</v>
      </c>
      <c r="AH729" s="2113"/>
      <c r="AI729" s="2332"/>
      <c r="AJ729" s="2443"/>
      <c r="AK729" s="2333"/>
      <c r="AL729" s="2113"/>
      <c r="AM729" s="7382"/>
      <c r="AN729" s="7386"/>
      <c r="AO729" s="7565" t="s">
        <v>516</v>
      </c>
      <c r="AP729" s="7383"/>
      <c r="AQ729" s="7383"/>
      <c r="AR729" s="7383"/>
      <c r="AS729" s="7380"/>
      <c r="AT729" s="7380"/>
      <c r="AU729" s="7381"/>
      <c r="AV729" s="7380"/>
      <c r="AW729" s="7381"/>
      <c r="AX729" s="7380"/>
      <c r="AY729" s="7380"/>
      <c r="AZ729" s="7380"/>
      <c r="BA729" s="7380"/>
      <c r="BB729" s="7385"/>
      <c r="BC729" s="2260"/>
      <c r="BD729" s="1648"/>
      <c r="BE729" s="1630"/>
      <c r="BF729" s="1630"/>
      <c r="BG729" s="1630"/>
      <c r="BH729" s="1630"/>
      <c r="BI729" s="1641">
        <v>0</v>
      </c>
    </row>
    <row customHeight="1" ht="14.25">
      <c r="A730" s="1369"/>
      <c r="B730" s="1369"/>
      <c r="C730" s="1369"/>
      <c r="D730" s="1369"/>
      <c r="E730" s="2265"/>
      <c r="F730" s="2265"/>
      <c r="G730" s="2265"/>
      <c r="H730" s="2265"/>
      <c r="I730" s="2292"/>
      <c r="J730" s="2292"/>
      <c r="K730" s="2262" t="str">
        <f>S725&amp;".1"</f>
        <v>.1</v>
      </c>
      <c r="L730" s="1375"/>
      <c r="M730" s="1782"/>
      <c r="N730" s="1782"/>
      <c r="O730" s="1782"/>
      <c r="P730" s="2380"/>
      <c r="Q730" s="2380"/>
      <c r="R730" s="2353">
        <v>1</v>
      </c>
      <c r="S730" s="2347" t="str">
        <f>$K730</f>
        <v>.1</v>
      </c>
      <c r="T730" s="2366"/>
      <c r="U730" s="306"/>
      <c r="V730" s="757"/>
      <c r="W730" s="1263"/>
      <c r="X730" s="757"/>
      <c r="Y730" s="1263"/>
      <c r="Z730" s="2608"/>
      <c r="AA730" s="2113" t="s">
        <v>62</v>
      </c>
      <c r="AB730" s="2608"/>
      <c r="AC730" s="2113" t="s">
        <v>62</v>
      </c>
      <c r="AD730" s="2191" t="s">
        <v>62</v>
      </c>
      <c r="AE730" s="2332"/>
      <c r="AF730" s="2443">
        <v>1</v>
      </c>
      <c r="AG730" s="2369"/>
      <c r="AH730" s="2113" t="s">
        <v>62</v>
      </c>
      <c r="AI730" s="689" t="s">
        <v>253</v>
      </c>
      <c r="AJ730" s="2443" t="s">
        <v>112</v>
      </c>
      <c r="AK730" s="2333" t="s">
        <v>533</v>
      </c>
      <c r="AL730" s="2113" t="s">
        <v>19</v>
      </c>
      <c r="AM730" s="2300"/>
      <c r="AN730" s="2443">
        <v>1</v>
      </c>
      <c r="AO730" s="3340" t="s">
        <v>28</v>
      </c>
      <c r="AP730" s="2364" t="s">
        <v>62</v>
      </c>
      <c r="AQ730" s="317"/>
      <c r="AR730" s="2443">
        <v>1</v>
      </c>
      <c r="AS730" s="2582" t="s">
        <v>541</v>
      </c>
      <c r="AT730" s="757"/>
      <c r="AU730" s="1263"/>
      <c r="AV730" s="757"/>
      <c r="AW730" s="1263">
        <v>18952.9</v>
      </c>
      <c r="AX730" s="2608">
        <v>46023.388402777775</v>
      </c>
      <c r="AY730" s="2113" t="s">
        <v>62</v>
      </c>
      <c r="AZ730" s="2608">
        <v>46387.40458333334</v>
      </c>
      <c r="BA730" s="2113" t="s">
        <v>62</v>
      </c>
      <c r="BB730" s="1354"/>
      <c r="BC730" s="2259" t="s">
        <v>514</v>
      </c>
      <c r="BD730" s="1648"/>
      <c r="BE730" s="1630"/>
      <c r="BF730" s="1630" t="str">
        <f>IF(T730="","",T730)</f>
        <v/>
      </c>
      <c r="BG730" s="1630"/>
      <c r="BH730" s="1630"/>
      <c r="BI730" s="1641">
        <v>0</v>
      </c>
    </row>
    <row customHeight="1" ht="14.25">
      <c r="A731" s="1369"/>
      <c r="B731" s="1369"/>
      <c r="C731" s="1369"/>
      <c r="D731" s="1369"/>
      <c r="E731" s="2265"/>
      <c r="F731" s="2265"/>
      <c r="G731" s="2265"/>
      <c r="H731" s="2265"/>
      <c r="I731" s="2292"/>
      <c r="J731" s="2292"/>
      <c r="K731" s="2262" t="str">
        <f>S727&amp;".1"</f>
        <v>.1.1</v>
      </c>
      <c r="L731" s="1375"/>
      <c r="M731" s="1782"/>
      <c r="N731" s="1782"/>
      <c r="O731" s="1782"/>
      <c r="P731" s="2380"/>
      <c r="Q731" s="2380"/>
      <c r="R731" s="2353">
        <v>1</v>
      </c>
      <c r="S731" s="2347" t="str">
        <f>$K731</f>
        <v>.1.1</v>
      </c>
      <c r="T731" s="2366"/>
      <c r="U731" s="306"/>
      <c r="V731" s="757"/>
      <c r="W731" s="1263"/>
      <c r="X731" s="757"/>
      <c r="Y731" s="1263"/>
      <c r="Z731" s="2608"/>
      <c r="AA731" s="2113" t="s">
        <v>62</v>
      </c>
      <c r="AB731" s="2608"/>
      <c r="AC731" s="2113" t="s">
        <v>62</v>
      </c>
      <c r="AD731" s="2191" t="s">
        <v>62</v>
      </c>
      <c r="AE731" s="2332"/>
      <c r="AF731" s="2443">
        <v>1</v>
      </c>
      <c r="AG731" s="2369"/>
      <c r="AH731" s="2113" t="s">
        <v>62</v>
      </c>
      <c r="AI731" s="2332"/>
      <c r="AJ731" s="2443">
        <v>1</v>
      </c>
      <c r="AK731" s="2333" t="s">
        <v>28</v>
      </c>
      <c r="AL731" s="2113" t="s">
        <v>62</v>
      </c>
      <c r="AM731" s="2300"/>
      <c r="AN731" s="2443">
        <v>1</v>
      </c>
      <c r="AO731" s="2363"/>
      <c r="AP731" s="2364" t="s">
        <v>62</v>
      </c>
      <c r="AQ731" s="689" t="s">
        <v>253</v>
      </c>
      <c r="AR731" s="2443" t="s">
        <v>112</v>
      </c>
      <c r="AS731" s="2582" t="s">
        <v>541</v>
      </c>
      <c r="AT731" s="757"/>
      <c r="AU731" s="1263"/>
      <c r="AV731" s="757"/>
      <c r="AW731" s="1263">
        <v>23126.47</v>
      </c>
      <c r="AX731" s="2608">
        <v>46023.3884375</v>
      </c>
      <c r="AY731" s="2113" t="s">
        <v>62</v>
      </c>
      <c r="AZ731" s="2608">
        <v>46387.40466435185</v>
      </c>
      <c r="BA731" s="2113" t="s">
        <v>62</v>
      </c>
      <c r="BB731" s="1354"/>
      <c r="BC731" s="2259" t="s">
        <v>514</v>
      </c>
      <c r="BD731" s="1648"/>
      <c r="BE731" s="1630"/>
      <c r="BF731" s="1630" t="str">
        <f>IF(T731="","",T731)</f>
        <v/>
      </c>
      <c r="BG731" s="1630"/>
      <c r="BH731" s="1630"/>
      <c r="BI731" s="1641">
        <v>0</v>
      </c>
    </row>
    <row customHeight="1" ht="14.25">
      <c r="A732" s="1369"/>
      <c r="B732" s="1369"/>
      <c r="C732" s="1369"/>
      <c r="D732" s="1369"/>
      <c r="E732" s="2265"/>
      <c r="F732" s="2265"/>
      <c r="G732" s="2265"/>
      <c r="H732" s="2265"/>
      <c r="I732" s="2292"/>
      <c r="J732" s="2292"/>
      <c r="K732" s="2262"/>
      <c r="L732" s="1375"/>
      <c r="M732" s="1782"/>
      <c r="N732" s="1782"/>
      <c r="O732" s="1782"/>
      <c r="P732" s="2380"/>
      <c r="Q732" s="2380"/>
      <c r="R732" s="2353"/>
      <c r="S732" s="2348"/>
      <c r="T732" s="2367"/>
      <c r="U732" s="306"/>
      <c r="V732" s="7380"/>
      <c r="W732" s="7381"/>
      <c r="X732" s="7380"/>
      <c r="Y732" s="7381"/>
      <c r="Z732" s="7380"/>
      <c r="AA732" s="7380"/>
      <c r="AB732" s="7380"/>
      <c r="AC732" s="7380"/>
      <c r="AD732" s="2192"/>
      <c r="AE732" s="2332"/>
      <c r="AF732" s="2443"/>
      <c r="AG732" s="2369"/>
      <c r="AH732" s="2113"/>
      <c r="AI732" s="2332"/>
      <c r="AJ732" s="2443">
        <v>1</v>
      </c>
      <c r="AK732" s="2333"/>
      <c r="AL732" s="2113"/>
      <c r="AM732" s="2301"/>
      <c r="AN732" s="2443"/>
      <c r="AO732" s="3340" t="s">
        <v>28</v>
      </c>
      <c r="AP732" s="2365"/>
      <c r="AQ732" s="7382"/>
      <c r="AR732" s="7383"/>
      <c r="AS732" s="7566" t="s">
        <v>515</v>
      </c>
      <c r="AT732" s="7380"/>
      <c r="AU732" s="7381"/>
      <c r="AV732" s="7380"/>
      <c r="AW732" s="7381"/>
      <c r="AX732" s="7380"/>
      <c r="AY732" s="7380"/>
      <c r="AZ732" s="7380"/>
      <c r="BA732" s="7380"/>
      <c r="BB732" s="7385"/>
      <c r="BC732" s="2260"/>
      <c r="BD732" s="1648"/>
      <c r="BE732" s="1630"/>
      <c r="BF732" s="1630"/>
      <c r="BG732" s="1630"/>
      <c r="BH732" s="1630"/>
      <c r="BI732" s="1641">
        <v>0</v>
      </c>
    </row>
    <row customHeight="1" ht="14.25">
      <c r="A733" s="1369"/>
      <c r="B733" s="1369"/>
      <c r="C733" s="1369"/>
      <c r="D733" s="1369"/>
      <c r="E733" s="2265"/>
      <c r="F733" s="2265"/>
      <c r="G733" s="2265"/>
      <c r="H733" s="2265"/>
      <c r="I733" s="2292"/>
      <c r="J733" s="2292"/>
      <c r="K733" s="2262"/>
      <c r="L733" s="1375"/>
      <c r="M733" s="1782"/>
      <c r="N733" s="1782"/>
      <c r="O733" s="1782"/>
      <c r="P733" s="2380"/>
      <c r="Q733" s="2380"/>
      <c r="R733" s="2353"/>
      <c r="S733" s="2348"/>
      <c r="T733" s="2367"/>
      <c r="U733" s="306"/>
      <c r="V733" s="7380"/>
      <c r="W733" s="7381"/>
      <c r="X733" s="7380"/>
      <c r="Y733" s="7381"/>
      <c r="Z733" s="7380"/>
      <c r="AA733" s="7380"/>
      <c r="AB733" s="7380"/>
      <c r="AC733" s="7380"/>
      <c r="AD733" s="2192"/>
      <c r="AE733" s="2332"/>
      <c r="AF733" s="2443"/>
      <c r="AG733" s="2369"/>
      <c r="AH733" s="2113"/>
      <c r="AI733" s="2332"/>
      <c r="AJ733" s="2443">
        <v>1</v>
      </c>
      <c r="AK733" s="2333"/>
      <c r="AL733" s="2113"/>
      <c r="AM733" s="7382"/>
      <c r="AN733" s="7386"/>
      <c r="AO733" s="7567" t="s">
        <v>516</v>
      </c>
      <c r="AP733" s="7383"/>
      <c r="AQ733" s="7383"/>
      <c r="AR733" s="7383"/>
      <c r="AS733" s="7380"/>
      <c r="AT733" s="7380"/>
      <c r="AU733" s="7381"/>
      <c r="AV733" s="7380"/>
      <c r="AW733" s="7381"/>
      <c r="AX733" s="7380"/>
      <c r="AY733" s="7380"/>
      <c r="AZ733" s="7380"/>
      <c r="BA733" s="7380"/>
      <c r="BB733" s="7385"/>
      <c r="BC733" s="2260"/>
      <c r="BD733" s="1648"/>
      <c r="BE733" s="1630"/>
      <c r="BF733" s="1630"/>
      <c r="BG733" s="1630"/>
      <c r="BH733" s="1630"/>
      <c r="BI733" s="1641">
        <v>0</v>
      </c>
    </row>
    <row customHeight="1" ht="14.25">
      <c r="A734" s="1369"/>
      <c r="B734" s="1369"/>
      <c r="C734" s="1369"/>
      <c r="D734" s="1369"/>
      <c r="E734" s="2265"/>
      <c r="F734" s="2265"/>
      <c r="G734" s="2265"/>
      <c r="H734" s="2265"/>
      <c r="I734" s="2292"/>
      <c r="J734" s="2292"/>
      <c r="K734" s="2262" t="str">
        <f>S729&amp;".1"</f>
        <v>.1</v>
      </c>
      <c r="L734" s="1375"/>
      <c r="M734" s="1782"/>
      <c r="N734" s="1782"/>
      <c r="O734" s="1782"/>
      <c r="P734" s="2380"/>
      <c r="Q734" s="2380"/>
      <c r="R734" s="2353">
        <v>1</v>
      </c>
      <c r="S734" s="2347" t="str">
        <f>$K734</f>
        <v>.1</v>
      </c>
      <c r="T734" s="2366"/>
      <c r="U734" s="306"/>
      <c r="V734" s="757"/>
      <c r="W734" s="1263"/>
      <c r="X734" s="757"/>
      <c r="Y734" s="1263"/>
      <c r="Z734" s="2608"/>
      <c r="AA734" s="2113" t="s">
        <v>62</v>
      </c>
      <c r="AB734" s="2608"/>
      <c r="AC734" s="2113" t="s">
        <v>62</v>
      </c>
      <c r="AD734" s="2191" t="s">
        <v>62</v>
      </c>
      <c r="AE734" s="2332"/>
      <c r="AF734" s="2443">
        <v>1</v>
      </c>
      <c r="AG734" s="2369"/>
      <c r="AH734" s="2113" t="s">
        <v>62</v>
      </c>
      <c r="AI734" s="689" t="s">
        <v>253</v>
      </c>
      <c r="AJ734" s="2443" t="s">
        <v>91</v>
      </c>
      <c r="AK734" s="2333" t="s">
        <v>534</v>
      </c>
      <c r="AL734" s="2113" t="s">
        <v>19</v>
      </c>
      <c r="AM734" s="2300"/>
      <c r="AN734" s="2443">
        <v>1</v>
      </c>
      <c r="AO734" s="3340" t="s">
        <v>28</v>
      </c>
      <c r="AP734" s="2364" t="s">
        <v>62</v>
      </c>
      <c r="AQ734" s="317"/>
      <c r="AR734" s="2443">
        <v>1</v>
      </c>
      <c r="AS734" s="2582" t="s">
        <v>541</v>
      </c>
      <c r="AT734" s="757"/>
      <c r="AU734" s="1263"/>
      <c r="AV734" s="757"/>
      <c r="AW734" s="1263">
        <v>26072.58</v>
      </c>
      <c r="AX734" s="2608">
        <v>46023.38847222222</v>
      </c>
      <c r="AY734" s="2113" t="s">
        <v>62</v>
      </c>
      <c r="AZ734" s="2608">
        <v>46387.4047337963</v>
      </c>
      <c r="BA734" s="2113" t="s">
        <v>62</v>
      </c>
      <c r="BB734" s="1354"/>
      <c r="BC734" s="2259" t="s">
        <v>514</v>
      </c>
      <c r="BD734" s="1648"/>
      <c r="BE734" s="1630"/>
      <c r="BF734" s="1630" t="str">
        <f>IF(T734="","",T734)</f>
        <v/>
      </c>
      <c r="BG734" s="1630"/>
      <c r="BH734" s="1630"/>
      <c r="BI734" s="1641">
        <v>0</v>
      </c>
    </row>
    <row customHeight="1" ht="14.25">
      <c r="A735" s="1369"/>
      <c r="B735" s="1369"/>
      <c r="C735" s="1369"/>
      <c r="D735" s="1369"/>
      <c r="E735" s="2265"/>
      <c r="F735" s="2265"/>
      <c r="G735" s="2265"/>
      <c r="H735" s="2265"/>
      <c r="I735" s="2292"/>
      <c r="J735" s="2292"/>
      <c r="K735" s="2262" t="str">
        <f>S731&amp;".1"</f>
        <v>.1.1.1</v>
      </c>
      <c r="L735" s="1375"/>
      <c r="M735" s="1782"/>
      <c r="N735" s="1782"/>
      <c r="O735" s="1782"/>
      <c r="P735" s="2380"/>
      <c r="Q735" s="2380"/>
      <c r="R735" s="2353">
        <v>1</v>
      </c>
      <c r="S735" s="2347" t="str">
        <f>$K735</f>
        <v>.1.1.1</v>
      </c>
      <c r="T735" s="2366"/>
      <c r="U735" s="306"/>
      <c r="V735" s="757"/>
      <c r="W735" s="1263"/>
      <c r="X735" s="757"/>
      <c r="Y735" s="1263"/>
      <c r="Z735" s="2608"/>
      <c r="AA735" s="2113" t="s">
        <v>62</v>
      </c>
      <c r="AB735" s="2608"/>
      <c r="AC735" s="2113" t="s">
        <v>62</v>
      </c>
      <c r="AD735" s="2191" t="s">
        <v>62</v>
      </c>
      <c r="AE735" s="2332"/>
      <c r="AF735" s="2443">
        <v>1</v>
      </c>
      <c r="AG735" s="2369"/>
      <c r="AH735" s="2113" t="s">
        <v>62</v>
      </c>
      <c r="AI735" s="2332"/>
      <c r="AJ735" s="2443">
        <v>1</v>
      </c>
      <c r="AK735" s="2333" t="s">
        <v>28</v>
      </c>
      <c r="AL735" s="2113" t="s">
        <v>62</v>
      </c>
      <c r="AM735" s="2300"/>
      <c r="AN735" s="2443">
        <v>1</v>
      </c>
      <c r="AO735" s="2363"/>
      <c r="AP735" s="2364" t="s">
        <v>62</v>
      </c>
      <c r="AQ735" s="689" t="s">
        <v>253</v>
      </c>
      <c r="AR735" s="2443" t="s">
        <v>112</v>
      </c>
      <c r="AS735" s="2582" t="s">
        <v>541</v>
      </c>
      <c r="AT735" s="757"/>
      <c r="AU735" s="1263"/>
      <c r="AV735" s="757"/>
      <c r="AW735" s="1263">
        <v>26913.38</v>
      </c>
      <c r="AX735" s="2608">
        <v>46023.38849537037</v>
      </c>
      <c r="AY735" s="2113" t="s">
        <v>62</v>
      </c>
      <c r="AZ735" s="2608">
        <v>46387.40482638889</v>
      </c>
      <c r="BA735" s="2113" t="s">
        <v>62</v>
      </c>
      <c r="BB735" s="1354"/>
      <c r="BC735" s="2259" t="s">
        <v>514</v>
      </c>
      <c r="BD735" s="1648"/>
      <c r="BE735" s="1630"/>
      <c r="BF735" s="1630" t="str">
        <f>IF(T735="","",T735)</f>
        <v/>
      </c>
      <c r="BG735" s="1630"/>
      <c r="BH735" s="1630"/>
      <c r="BI735" s="1641">
        <v>0</v>
      </c>
    </row>
    <row customHeight="1" ht="14.25">
      <c r="A736" s="1369"/>
      <c r="B736" s="1369"/>
      <c r="C736" s="1369"/>
      <c r="D736" s="1369"/>
      <c r="E736" s="2265"/>
      <c r="F736" s="2265"/>
      <c r="G736" s="2265"/>
      <c r="H736" s="2265"/>
      <c r="I736" s="2292"/>
      <c r="J736" s="2292"/>
      <c r="K736" s="2262"/>
      <c r="L736" s="1375"/>
      <c r="M736" s="1782"/>
      <c r="N736" s="1782"/>
      <c r="O736" s="1782"/>
      <c r="P736" s="2380"/>
      <c r="Q736" s="2380"/>
      <c r="R736" s="2353"/>
      <c r="S736" s="2348"/>
      <c r="T736" s="2367"/>
      <c r="U736" s="306"/>
      <c r="V736" s="7380"/>
      <c r="W736" s="7381"/>
      <c r="X736" s="7380"/>
      <c r="Y736" s="7381"/>
      <c r="Z736" s="7380"/>
      <c r="AA736" s="7380"/>
      <c r="AB736" s="7380"/>
      <c r="AC736" s="7380"/>
      <c r="AD736" s="2192"/>
      <c r="AE736" s="2332"/>
      <c r="AF736" s="2443"/>
      <c r="AG736" s="2369"/>
      <c r="AH736" s="2113"/>
      <c r="AI736" s="2332"/>
      <c r="AJ736" s="2443" t="s">
        <v>112</v>
      </c>
      <c r="AK736" s="2333"/>
      <c r="AL736" s="2113"/>
      <c r="AM736" s="2301"/>
      <c r="AN736" s="2443"/>
      <c r="AO736" s="3340" t="s">
        <v>28</v>
      </c>
      <c r="AP736" s="2365"/>
      <c r="AQ736" s="7382"/>
      <c r="AR736" s="7383"/>
      <c r="AS736" s="7568" t="s">
        <v>515</v>
      </c>
      <c r="AT736" s="7380"/>
      <c r="AU736" s="7381"/>
      <c r="AV736" s="7380"/>
      <c r="AW736" s="7381"/>
      <c r="AX736" s="7380"/>
      <c r="AY736" s="7380"/>
      <c r="AZ736" s="7380"/>
      <c r="BA736" s="7380"/>
      <c r="BB736" s="7385"/>
      <c r="BC736" s="2260"/>
      <c r="BD736" s="1648"/>
      <c r="BE736" s="1630"/>
      <c r="BF736" s="1630"/>
      <c r="BG736" s="1630"/>
      <c r="BH736" s="1630"/>
      <c r="BI736" s="1641">
        <v>0</v>
      </c>
    </row>
    <row customHeight="1" ht="14.25">
      <c r="A737" s="1369"/>
      <c r="B737" s="1369"/>
      <c r="C737" s="1369"/>
      <c r="D737" s="1369"/>
      <c r="E737" s="2265"/>
      <c r="F737" s="2265"/>
      <c r="G737" s="2265"/>
      <c r="H737" s="2265"/>
      <c r="I737" s="2292"/>
      <c r="J737" s="2292"/>
      <c r="K737" s="2262"/>
      <c r="L737" s="1375"/>
      <c r="M737" s="1782"/>
      <c r="N737" s="1782"/>
      <c r="O737" s="1782"/>
      <c r="P737" s="2380"/>
      <c r="Q737" s="2380"/>
      <c r="R737" s="2353"/>
      <c r="S737" s="2348"/>
      <c r="T737" s="2367"/>
      <c r="U737" s="306"/>
      <c r="V737" s="7380"/>
      <c r="W737" s="7381"/>
      <c r="X737" s="7380"/>
      <c r="Y737" s="7381"/>
      <c r="Z737" s="7380"/>
      <c r="AA737" s="7380"/>
      <c r="AB737" s="7380"/>
      <c r="AC737" s="7380"/>
      <c r="AD737" s="2192"/>
      <c r="AE737" s="2332"/>
      <c r="AF737" s="2443"/>
      <c r="AG737" s="2369"/>
      <c r="AH737" s="2113"/>
      <c r="AI737" s="2332"/>
      <c r="AJ737" s="2443" t="s">
        <v>112</v>
      </c>
      <c r="AK737" s="2333"/>
      <c r="AL737" s="2113"/>
      <c r="AM737" s="7382"/>
      <c r="AN737" s="7386"/>
      <c r="AO737" s="7569" t="s">
        <v>516</v>
      </c>
      <c r="AP737" s="7383"/>
      <c r="AQ737" s="7383"/>
      <c r="AR737" s="7383"/>
      <c r="AS737" s="7380"/>
      <c r="AT737" s="7380"/>
      <c r="AU737" s="7381"/>
      <c r="AV737" s="7380"/>
      <c r="AW737" s="7381"/>
      <c r="AX737" s="7380"/>
      <c r="AY737" s="7380"/>
      <c r="AZ737" s="7380"/>
      <c r="BA737" s="7380"/>
      <c r="BB737" s="7385"/>
      <c r="BC737" s="2260"/>
      <c r="BD737" s="1648"/>
      <c r="BE737" s="1630"/>
      <c r="BF737" s="1630"/>
      <c r="BG737" s="1630"/>
      <c r="BH737" s="1630"/>
      <c r="BI737" s="1641">
        <v>0</v>
      </c>
    </row>
    <row customHeight="1" ht="14.25">
      <c r="A738" s="1369"/>
      <c r="B738" s="1369"/>
      <c r="C738" s="1369"/>
      <c r="D738" s="1369"/>
      <c r="E738" s="2265"/>
      <c r="F738" s="2265"/>
      <c r="G738" s="2265"/>
      <c r="H738" s="2265"/>
      <c r="I738" s="2292"/>
      <c r="J738" s="2292"/>
      <c r="K738" s="2262" t="str">
        <f>S733&amp;".1"</f>
        <v>.1</v>
      </c>
      <c r="L738" s="1375"/>
      <c r="M738" s="1782"/>
      <c r="N738" s="1782"/>
      <c r="O738" s="1782"/>
      <c r="P738" s="2380"/>
      <c r="Q738" s="2380"/>
      <c r="R738" s="2353">
        <v>1</v>
      </c>
      <c r="S738" s="2347" t="str">
        <f>$K738</f>
        <v>.1</v>
      </c>
      <c r="T738" s="2366"/>
      <c r="U738" s="306"/>
      <c r="V738" s="757"/>
      <c r="W738" s="1263"/>
      <c r="X738" s="757"/>
      <c r="Y738" s="1263"/>
      <c r="Z738" s="2608"/>
      <c r="AA738" s="2113" t="s">
        <v>62</v>
      </c>
      <c r="AB738" s="2608"/>
      <c r="AC738" s="2113" t="s">
        <v>62</v>
      </c>
      <c r="AD738" s="2191" t="s">
        <v>62</v>
      </c>
      <c r="AE738" s="2332"/>
      <c r="AF738" s="2443">
        <v>1</v>
      </c>
      <c r="AG738" s="2369"/>
      <c r="AH738" s="2113" t="s">
        <v>62</v>
      </c>
      <c r="AI738" s="689" t="s">
        <v>253</v>
      </c>
      <c r="AJ738" s="2443" t="s">
        <v>92</v>
      </c>
      <c r="AK738" s="2333" t="s">
        <v>535</v>
      </c>
      <c r="AL738" s="2113" t="s">
        <v>19</v>
      </c>
      <c r="AM738" s="2300"/>
      <c r="AN738" s="2443">
        <v>1</v>
      </c>
      <c r="AO738" s="3340" t="s">
        <v>28</v>
      </c>
      <c r="AP738" s="2364" t="s">
        <v>62</v>
      </c>
      <c r="AQ738" s="317"/>
      <c r="AR738" s="2443">
        <v>1</v>
      </c>
      <c r="AS738" s="2582" t="s">
        <v>541</v>
      </c>
      <c r="AT738" s="757"/>
      <c r="AU738" s="1263"/>
      <c r="AV738" s="757"/>
      <c r="AW738" s="1263">
        <v>33724.18</v>
      </c>
      <c r="AX738" s="2608">
        <v>46023.38853009259</v>
      </c>
      <c r="AY738" s="2113" t="s">
        <v>62</v>
      </c>
      <c r="AZ738" s="2608">
        <v>46387.40489583334</v>
      </c>
      <c r="BA738" s="2113" t="s">
        <v>62</v>
      </c>
      <c r="BB738" s="1354"/>
      <c r="BC738" s="2259" t="s">
        <v>514</v>
      </c>
      <c r="BD738" s="1648"/>
      <c r="BE738" s="1630"/>
      <c r="BF738" s="1630" t="str">
        <f>IF(T738="","",T738)</f>
        <v/>
      </c>
      <c r="BG738" s="1630"/>
      <c r="BH738" s="1630"/>
      <c r="BI738" s="1641">
        <v>0</v>
      </c>
    </row>
    <row customHeight="1" ht="14.25">
      <c r="A739" s="1369"/>
      <c r="B739" s="1369"/>
      <c r="C739" s="1369"/>
      <c r="D739" s="1369"/>
      <c r="E739" s="2265"/>
      <c r="F739" s="2265"/>
      <c r="G739" s="2265"/>
      <c r="H739" s="2265"/>
      <c r="I739" s="2292"/>
      <c r="J739" s="2292"/>
      <c r="K739" s="2262" t="str">
        <f>S735&amp;".1"</f>
        <v>.1.1.1.1</v>
      </c>
      <c r="L739" s="1375"/>
      <c r="M739" s="1782"/>
      <c r="N739" s="1782"/>
      <c r="O739" s="1782"/>
      <c r="P739" s="2380"/>
      <c r="Q739" s="2380"/>
      <c r="R739" s="2353">
        <v>1</v>
      </c>
      <c r="S739" s="2347" t="str">
        <f>$K739</f>
        <v>.1.1.1.1</v>
      </c>
      <c r="T739" s="2366"/>
      <c r="U739" s="306"/>
      <c r="V739" s="757"/>
      <c r="W739" s="1263"/>
      <c r="X739" s="757"/>
      <c r="Y739" s="1263"/>
      <c r="Z739" s="2608"/>
      <c r="AA739" s="2113" t="s">
        <v>62</v>
      </c>
      <c r="AB739" s="2608"/>
      <c r="AC739" s="2113" t="s">
        <v>62</v>
      </c>
      <c r="AD739" s="2191" t="s">
        <v>62</v>
      </c>
      <c r="AE739" s="2332"/>
      <c r="AF739" s="2443">
        <v>1</v>
      </c>
      <c r="AG739" s="2369"/>
      <c r="AH739" s="2113" t="s">
        <v>62</v>
      </c>
      <c r="AI739" s="2332"/>
      <c r="AJ739" s="2443">
        <v>1</v>
      </c>
      <c r="AK739" s="2333" t="s">
        <v>28</v>
      </c>
      <c r="AL739" s="2113" t="s">
        <v>62</v>
      </c>
      <c r="AM739" s="2300"/>
      <c r="AN739" s="2443">
        <v>1</v>
      </c>
      <c r="AO739" s="2363"/>
      <c r="AP739" s="2364" t="s">
        <v>62</v>
      </c>
      <c r="AQ739" s="689" t="s">
        <v>253</v>
      </c>
      <c r="AR739" s="2443" t="s">
        <v>112</v>
      </c>
      <c r="AS739" s="2582" t="s">
        <v>541</v>
      </c>
      <c r="AT739" s="757"/>
      <c r="AU739" s="1263"/>
      <c r="AV739" s="757"/>
      <c r="AW739" s="1263">
        <v>35961.64</v>
      </c>
      <c r="AX739" s="2608">
        <v>46023.38856481481</v>
      </c>
      <c r="AY739" s="2113" t="s">
        <v>62</v>
      </c>
      <c r="AZ739" s="2608">
        <v>46387.405</v>
      </c>
      <c r="BA739" s="2113" t="s">
        <v>62</v>
      </c>
      <c r="BB739" s="1354"/>
      <c r="BC739" s="2259" t="s">
        <v>514</v>
      </c>
      <c r="BD739" s="1648"/>
      <c r="BE739" s="1630"/>
      <c r="BF739" s="1630" t="str">
        <f>IF(T739="","",T739)</f>
        <v/>
      </c>
      <c r="BG739" s="1630"/>
      <c r="BH739" s="1630"/>
      <c r="BI739" s="1641">
        <v>0</v>
      </c>
    </row>
    <row customHeight="1" ht="14.25">
      <c r="A740" s="1369"/>
      <c r="B740" s="1369"/>
      <c r="C740" s="1369"/>
      <c r="D740" s="1369"/>
      <c r="E740" s="2265"/>
      <c r="F740" s="2265"/>
      <c r="G740" s="2265"/>
      <c r="H740" s="2265"/>
      <c r="I740" s="2292"/>
      <c r="J740" s="2292"/>
      <c r="K740" s="2262"/>
      <c r="L740" s="1375"/>
      <c r="M740" s="1782"/>
      <c r="N740" s="1782"/>
      <c r="O740" s="1782"/>
      <c r="P740" s="2380"/>
      <c r="Q740" s="2380"/>
      <c r="R740" s="2353"/>
      <c r="S740" s="2348"/>
      <c r="T740" s="2367"/>
      <c r="U740" s="306"/>
      <c r="V740" s="7380"/>
      <c r="W740" s="7381"/>
      <c r="X740" s="7380"/>
      <c r="Y740" s="7381"/>
      <c r="Z740" s="7380"/>
      <c r="AA740" s="7380"/>
      <c r="AB740" s="7380"/>
      <c r="AC740" s="7380"/>
      <c r="AD740" s="2192"/>
      <c r="AE740" s="2332"/>
      <c r="AF740" s="2443"/>
      <c r="AG740" s="2369"/>
      <c r="AH740" s="2113"/>
      <c r="AI740" s="2332"/>
      <c r="AJ740" s="2443" t="s">
        <v>91</v>
      </c>
      <c r="AK740" s="2333"/>
      <c r="AL740" s="2113"/>
      <c r="AM740" s="2301"/>
      <c r="AN740" s="2443"/>
      <c r="AO740" s="3340" t="s">
        <v>28</v>
      </c>
      <c r="AP740" s="2365"/>
      <c r="AQ740" s="7382"/>
      <c r="AR740" s="7383"/>
      <c r="AS740" s="7570" t="s">
        <v>515</v>
      </c>
      <c r="AT740" s="7380"/>
      <c r="AU740" s="7381"/>
      <c r="AV740" s="7380"/>
      <c r="AW740" s="7381"/>
      <c r="AX740" s="7380"/>
      <c r="AY740" s="7380"/>
      <c r="AZ740" s="7380"/>
      <c r="BA740" s="7380"/>
      <c r="BB740" s="7385"/>
      <c r="BC740" s="2260"/>
      <c r="BD740" s="1648"/>
      <c r="BE740" s="1630"/>
      <c r="BF740" s="1630"/>
      <c r="BG740" s="1630"/>
      <c r="BH740" s="1630"/>
      <c r="BI740" s="1641">
        <v>0</v>
      </c>
    </row>
    <row customHeight="1" ht="14.25">
      <c r="A741" s="1369"/>
      <c r="B741" s="1369"/>
      <c r="C741" s="1369"/>
      <c r="D741" s="1369"/>
      <c r="E741" s="2265"/>
      <c r="F741" s="2265"/>
      <c r="G741" s="2265"/>
      <c r="H741" s="2265"/>
      <c r="I741" s="2292"/>
      <c r="J741" s="2292"/>
      <c r="K741" s="2262"/>
      <c r="L741" s="1375"/>
      <c r="M741" s="1782"/>
      <c r="N741" s="1782"/>
      <c r="O741" s="1782"/>
      <c r="P741" s="2380"/>
      <c r="Q741" s="2380"/>
      <c r="R741" s="2353"/>
      <c r="S741" s="2348"/>
      <c r="T741" s="2367"/>
      <c r="U741" s="306"/>
      <c r="V741" s="7380"/>
      <c r="W741" s="7381"/>
      <c r="X741" s="7380"/>
      <c r="Y741" s="7381"/>
      <c r="Z741" s="7380"/>
      <c r="AA741" s="7380"/>
      <c r="AB741" s="7380"/>
      <c r="AC741" s="7380"/>
      <c r="AD741" s="2192"/>
      <c r="AE741" s="2332"/>
      <c r="AF741" s="2443"/>
      <c r="AG741" s="2369"/>
      <c r="AH741" s="2113"/>
      <c r="AI741" s="2332"/>
      <c r="AJ741" s="2443" t="s">
        <v>91</v>
      </c>
      <c r="AK741" s="2333"/>
      <c r="AL741" s="2113"/>
      <c r="AM741" s="7382"/>
      <c r="AN741" s="7386"/>
      <c r="AO741" s="7571" t="s">
        <v>516</v>
      </c>
      <c r="AP741" s="7383"/>
      <c r="AQ741" s="7383"/>
      <c r="AR741" s="7383"/>
      <c r="AS741" s="7380"/>
      <c r="AT741" s="7380"/>
      <c r="AU741" s="7381"/>
      <c r="AV741" s="7380"/>
      <c r="AW741" s="7381"/>
      <c r="AX741" s="7380"/>
      <c r="AY741" s="7380"/>
      <c r="AZ741" s="7380"/>
      <c r="BA741" s="7380"/>
      <c r="BB741" s="7385"/>
      <c r="BC741" s="2260"/>
      <c r="BD741" s="1648"/>
      <c r="BE741" s="1630"/>
      <c r="BF741" s="1630"/>
      <c r="BG741" s="1630"/>
      <c r="BH741" s="1630"/>
      <c r="BI741" s="1641">
        <v>0</v>
      </c>
    </row>
    <row customHeight="1" ht="14.25">
      <c r="A742" s="1369"/>
      <c r="B742" s="1369"/>
      <c r="C742" s="1369"/>
      <c r="D742" s="1369"/>
      <c r="E742" s="2265"/>
      <c r="F742" s="2265"/>
      <c r="G742" s="2265"/>
      <c r="H742" s="2265"/>
      <c r="I742" s="2292"/>
      <c r="J742" s="2292"/>
      <c r="K742" s="2262" t="str">
        <f>S737&amp;".1"</f>
        <v>.1</v>
      </c>
      <c r="L742" s="1375"/>
      <c r="M742" s="1782"/>
      <c r="N742" s="1782"/>
      <c r="O742" s="1782"/>
      <c r="P742" s="2380"/>
      <c r="Q742" s="2380"/>
      <c r="R742" s="2353">
        <v>1</v>
      </c>
      <c r="S742" s="2347" t="str">
        <f>$K742</f>
        <v>.1</v>
      </c>
      <c r="T742" s="2366"/>
      <c r="U742" s="306"/>
      <c r="V742" s="757"/>
      <c r="W742" s="1263"/>
      <c r="X742" s="757"/>
      <c r="Y742" s="1263"/>
      <c r="Z742" s="2608"/>
      <c r="AA742" s="2113" t="s">
        <v>62</v>
      </c>
      <c r="AB742" s="2608"/>
      <c r="AC742" s="2113" t="s">
        <v>62</v>
      </c>
      <c r="AD742" s="2191" t="s">
        <v>62</v>
      </c>
      <c r="AE742" s="2332"/>
      <c r="AF742" s="2443">
        <v>1</v>
      </c>
      <c r="AG742" s="2369"/>
      <c r="AH742" s="2113" t="s">
        <v>62</v>
      </c>
      <c r="AI742" s="689" t="s">
        <v>253</v>
      </c>
      <c r="AJ742" s="2443" t="s">
        <v>113</v>
      </c>
      <c r="AK742" s="2333" t="s">
        <v>536</v>
      </c>
      <c r="AL742" s="2113" t="s">
        <v>19</v>
      </c>
      <c r="AM742" s="2300"/>
      <c r="AN742" s="2443">
        <v>1</v>
      </c>
      <c r="AO742" s="3340" t="s">
        <v>28</v>
      </c>
      <c r="AP742" s="2364" t="s">
        <v>62</v>
      </c>
      <c r="AQ742" s="317"/>
      <c r="AR742" s="2443">
        <v>1</v>
      </c>
      <c r="AS742" s="2582" t="s">
        <v>541</v>
      </c>
      <c r="AT742" s="757"/>
      <c r="AU742" s="1263"/>
      <c r="AV742" s="757"/>
      <c r="AW742" s="1263">
        <v>39913.95</v>
      </c>
      <c r="AX742" s="2608">
        <v>46023.38862268518</v>
      </c>
      <c r="AY742" s="2113" t="s">
        <v>62</v>
      </c>
      <c r="AZ742" s="2608">
        <v>46387.40510416667</v>
      </c>
      <c r="BA742" s="2113" t="s">
        <v>62</v>
      </c>
      <c r="BB742" s="1354"/>
      <c r="BC742" s="2259" t="s">
        <v>514</v>
      </c>
      <c r="BD742" s="1648"/>
      <c r="BE742" s="1630"/>
      <c r="BF742" s="1630" t="str">
        <f>IF(T742="","",T742)</f>
        <v/>
      </c>
      <c r="BG742" s="1630"/>
      <c r="BH742" s="1630"/>
      <c r="BI742" s="1641">
        <v>0</v>
      </c>
    </row>
    <row customHeight="1" ht="14.25">
      <c r="A743" s="1369"/>
      <c r="B743" s="1369"/>
      <c r="C743" s="1369"/>
      <c r="D743" s="1369"/>
      <c r="E743" s="2265"/>
      <c r="F743" s="2265"/>
      <c r="G743" s="2265"/>
      <c r="H743" s="2265"/>
      <c r="I743" s="2292"/>
      <c r="J743" s="2292"/>
      <c r="K743" s="2262"/>
      <c r="L743" s="1375"/>
      <c r="M743" s="1782"/>
      <c r="N743" s="1782"/>
      <c r="O743" s="1782"/>
      <c r="P743" s="2380"/>
      <c r="Q743" s="2380"/>
      <c r="R743" s="2353"/>
      <c r="S743" s="2348"/>
      <c r="T743" s="2367"/>
      <c r="U743" s="306"/>
      <c r="V743" s="7380"/>
      <c r="W743" s="7381"/>
      <c r="X743" s="7380"/>
      <c r="Y743" s="7381"/>
      <c r="Z743" s="7380"/>
      <c r="AA743" s="7380"/>
      <c r="AB743" s="7380"/>
      <c r="AC743" s="7380"/>
      <c r="AD743" s="2192"/>
      <c r="AE743" s="2332"/>
      <c r="AF743" s="2443"/>
      <c r="AG743" s="2369"/>
      <c r="AH743" s="2113"/>
      <c r="AI743" s="2332"/>
      <c r="AJ743" s="2443" t="s">
        <v>92</v>
      </c>
      <c r="AK743" s="2333"/>
      <c r="AL743" s="2113"/>
      <c r="AM743" s="2301"/>
      <c r="AN743" s="2443"/>
      <c r="AO743" s="3340" t="s">
        <v>28</v>
      </c>
      <c r="AP743" s="2365"/>
      <c r="AQ743" s="7382"/>
      <c r="AR743" s="7383"/>
      <c r="AS743" s="7572" t="s">
        <v>515</v>
      </c>
      <c r="AT743" s="7380"/>
      <c r="AU743" s="7381"/>
      <c r="AV743" s="7380"/>
      <c r="AW743" s="7381"/>
      <c r="AX743" s="7380"/>
      <c r="AY743" s="7380"/>
      <c r="AZ743" s="7380"/>
      <c r="BA743" s="7380"/>
      <c r="BB743" s="7385"/>
      <c r="BC743" s="2260"/>
      <c r="BD743" s="1648"/>
      <c r="BE743" s="1630"/>
      <c r="BF743" s="1630"/>
      <c r="BG743" s="1630"/>
      <c r="BH743" s="1630"/>
      <c r="BI743" s="1641">
        <v>0</v>
      </c>
    </row>
    <row customHeight="1" ht="14.25">
      <c r="A744" s="1369"/>
      <c r="B744" s="1369"/>
      <c r="C744" s="1369"/>
      <c r="D744" s="1369"/>
      <c r="E744" s="2265"/>
      <c r="F744" s="2265"/>
      <c r="G744" s="2265"/>
      <c r="H744" s="2265"/>
      <c r="I744" s="2292"/>
      <c r="J744" s="2292"/>
      <c r="K744" s="2262"/>
      <c r="L744" s="1375"/>
      <c r="M744" s="1782"/>
      <c r="N744" s="1782"/>
      <c r="O744" s="1782"/>
      <c r="P744" s="2380"/>
      <c r="Q744" s="2380"/>
      <c r="R744" s="2353"/>
      <c r="S744" s="2348"/>
      <c r="T744" s="2367"/>
      <c r="U744" s="306"/>
      <c r="V744" s="7380"/>
      <c r="W744" s="7381"/>
      <c r="X744" s="7380"/>
      <c r="Y744" s="7381"/>
      <c r="Z744" s="7380"/>
      <c r="AA744" s="7380"/>
      <c r="AB744" s="7380"/>
      <c r="AC744" s="7380"/>
      <c r="AD744" s="2192"/>
      <c r="AE744" s="2332"/>
      <c r="AF744" s="2443"/>
      <c r="AG744" s="2369"/>
      <c r="AH744" s="2113"/>
      <c r="AI744" s="2332"/>
      <c r="AJ744" s="2443" t="s">
        <v>92</v>
      </c>
      <c r="AK744" s="2333"/>
      <c r="AL744" s="2113"/>
      <c r="AM744" s="7382"/>
      <c r="AN744" s="7386"/>
      <c r="AO744" s="7573" t="s">
        <v>516</v>
      </c>
      <c r="AP744" s="7383"/>
      <c r="AQ744" s="7383"/>
      <c r="AR744" s="7383"/>
      <c r="AS744" s="7380"/>
      <c r="AT744" s="7380"/>
      <c r="AU744" s="7381"/>
      <c r="AV744" s="7380"/>
      <c r="AW744" s="7381"/>
      <c r="AX744" s="7380"/>
      <c r="AY744" s="7380"/>
      <c r="AZ744" s="7380"/>
      <c r="BA744" s="7380"/>
      <c r="BB744" s="7385"/>
      <c r="BC744" s="2260"/>
      <c r="BD744" s="1648"/>
      <c r="BE744" s="1630"/>
      <c r="BF744" s="1630"/>
      <c r="BG744" s="1630"/>
      <c r="BH744" s="1630"/>
      <c r="BI744" s="1641">
        <v>0</v>
      </c>
    </row>
    <row customHeight="1" ht="14.25">
      <c r="A745" s="1369"/>
      <c r="B745" s="1369"/>
      <c r="C745" s="1369"/>
      <c r="D745" s="1369"/>
      <c r="E745" s="2265"/>
      <c r="F745" s="2265"/>
      <c r="G745" s="2265"/>
      <c r="H745" s="2265"/>
      <c r="I745" s="2292"/>
      <c r="J745" s="2292"/>
      <c r="K745" s="2262" t="str">
        <f>S741&amp;".1"</f>
        <v>.1</v>
      </c>
      <c r="L745" s="1375"/>
      <c r="M745" s="1782"/>
      <c r="N745" s="1782"/>
      <c r="O745" s="1782"/>
      <c r="P745" s="2380"/>
      <c r="Q745" s="2380"/>
      <c r="R745" s="2353">
        <v>1</v>
      </c>
      <c r="S745" s="2347" t="str">
        <f>$K745</f>
        <v>.1</v>
      </c>
      <c r="T745" s="2366"/>
      <c r="U745" s="306"/>
      <c r="V745" s="757"/>
      <c r="W745" s="1263"/>
      <c r="X745" s="757"/>
      <c r="Y745" s="1263"/>
      <c r="Z745" s="2608"/>
      <c r="AA745" s="2113" t="s">
        <v>62</v>
      </c>
      <c r="AB745" s="2608"/>
      <c r="AC745" s="2113" t="s">
        <v>62</v>
      </c>
      <c r="AD745" s="2191" t="s">
        <v>62</v>
      </c>
      <c r="AE745" s="2332"/>
      <c r="AF745" s="2443">
        <v>1</v>
      </c>
      <c r="AG745" s="2369"/>
      <c r="AH745" s="2113" t="s">
        <v>62</v>
      </c>
      <c r="AI745" s="689" t="s">
        <v>253</v>
      </c>
      <c r="AJ745" s="2443" t="s">
        <v>93</v>
      </c>
      <c r="AK745" s="2333" t="s">
        <v>537</v>
      </c>
      <c r="AL745" s="2113" t="s">
        <v>19</v>
      </c>
      <c r="AM745" s="2300"/>
      <c r="AN745" s="2443">
        <v>1</v>
      </c>
      <c r="AO745" s="3340" t="s">
        <v>28</v>
      </c>
      <c r="AP745" s="2364" t="s">
        <v>62</v>
      </c>
      <c r="AQ745" s="317"/>
      <c r="AR745" s="2443">
        <v>1</v>
      </c>
      <c r="AS745" s="2582" t="s">
        <v>541</v>
      </c>
      <c r="AT745" s="757"/>
      <c r="AU745" s="1263"/>
      <c r="AV745" s="757"/>
      <c r="AW745" s="1263">
        <v>55247.61</v>
      </c>
      <c r="AX745" s="2608">
        <v>46023.38866898148</v>
      </c>
      <c r="AY745" s="2113" t="s">
        <v>62</v>
      </c>
      <c r="AZ745" s="2608">
        <v>46387.405185185184</v>
      </c>
      <c r="BA745" s="2113" t="s">
        <v>62</v>
      </c>
      <c r="BB745" s="1354"/>
      <c r="BC745" s="2259" t="s">
        <v>514</v>
      </c>
      <c r="BD745" s="1648"/>
      <c r="BE745" s="1630"/>
      <c r="BF745" s="1630" t="str">
        <f>IF(T745="","",T745)</f>
        <v/>
      </c>
      <c r="BG745" s="1630"/>
      <c r="BH745" s="1630"/>
      <c r="BI745" s="1641">
        <v>0</v>
      </c>
    </row>
    <row customHeight="1" ht="14.25">
      <c r="A746" s="1369"/>
      <c r="B746" s="1369"/>
      <c r="C746" s="1369"/>
      <c r="D746" s="1369"/>
      <c r="E746" s="2265"/>
      <c r="F746" s="2265"/>
      <c r="G746" s="2265"/>
      <c r="H746" s="2265"/>
      <c r="I746" s="2292"/>
      <c r="J746" s="2292"/>
      <c r="K746" s="2262"/>
      <c r="L746" s="1375"/>
      <c r="M746" s="1782"/>
      <c r="N746" s="1782"/>
      <c r="O746" s="1782"/>
      <c r="P746" s="2380"/>
      <c r="Q746" s="2380"/>
      <c r="R746" s="2353"/>
      <c r="S746" s="2348"/>
      <c r="T746" s="2367"/>
      <c r="U746" s="306"/>
      <c r="V746" s="7380"/>
      <c r="W746" s="7381"/>
      <c r="X746" s="7380"/>
      <c r="Y746" s="7381"/>
      <c r="Z746" s="7380"/>
      <c r="AA746" s="7380"/>
      <c r="AB746" s="7380"/>
      <c r="AC746" s="7380"/>
      <c r="AD746" s="2192"/>
      <c r="AE746" s="2332"/>
      <c r="AF746" s="2443"/>
      <c r="AG746" s="2369"/>
      <c r="AH746" s="2113"/>
      <c r="AI746" s="2332"/>
      <c r="AJ746" s="2443" t="s">
        <v>113</v>
      </c>
      <c r="AK746" s="2333"/>
      <c r="AL746" s="2113"/>
      <c r="AM746" s="2301"/>
      <c r="AN746" s="2443"/>
      <c r="AO746" s="3340" t="s">
        <v>28</v>
      </c>
      <c r="AP746" s="2365"/>
      <c r="AQ746" s="7382"/>
      <c r="AR746" s="7383"/>
      <c r="AS746" s="7574" t="s">
        <v>515</v>
      </c>
      <c r="AT746" s="7380"/>
      <c r="AU746" s="7381"/>
      <c r="AV746" s="7380"/>
      <c r="AW746" s="7381"/>
      <c r="AX746" s="7380"/>
      <c r="AY746" s="7380"/>
      <c r="AZ746" s="7380"/>
      <c r="BA746" s="7380"/>
      <c r="BB746" s="7385"/>
      <c r="BC746" s="2260"/>
      <c r="BD746" s="1648"/>
      <c r="BE746" s="1630"/>
      <c r="BF746" s="1630"/>
      <c r="BG746" s="1630"/>
      <c r="BH746" s="1630"/>
      <c r="BI746" s="1641">
        <v>0</v>
      </c>
    </row>
    <row customHeight="1" ht="14.25">
      <c r="A747" s="1369"/>
      <c r="B747" s="1369"/>
      <c r="C747" s="1369"/>
      <c r="D747" s="1369"/>
      <c r="E747" s="2265"/>
      <c r="F747" s="2265"/>
      <c r="G747" s="2265"/>
      <c r="H747" s="2265"/>
      <c r="I747" s="2292"/>
      <c r="J747" s="2292"/>
      <c r="K747" s="2262"/>
      <c r="L747" s="1375"/>
      <c r="M747" s="1782"/>
      <c r="N747" s="1782"/>
      <c r="O747" s="1782"/>
      <c r="P747" s="2380"/>
      <c r="Q747" s="2380"/>
      <c r="R747" s="2353"/>
      <c r="S747" s="2348"/>
      <c r="T747" s="2367"/>
      <c r="U747" s="306"/>
      <c r="V747" s="7380"/>
      <c r="W747" s="7381"/>
      <c r="X747" s="7380"/>
      <c r="Y747" s="7381"/>
      <c r="Z747" s="7380"/>
      <c r="AA747" s="7380"/>
      <c r="AB747" s="7380"/>
      <c r="AC747" s="7380"/>
      <c r="AD747" s="2192"/>
      <c r="AE747" s="2332"/>
      <c r="AF747" s="2443"/>
      <c r="AG747" s="2369"/>
      <c r="AH747" s="2113"/>
      <c r="AI747" s="2332"/>
      <c r="AJ747" s="2443" t="s">
        <v>113</v>
      </c>
      <c r="AK747" s="2333"/>
      <c r="AL747" s="2113"/>
      <c r="AM747" s="7382"/>
      <c r="AN747" s="7386"/>
      <c r="AO747" s="7575" t="s">
        <v>516</v>
      </c>
      <c r="AP747" s="7383"/>
      <c r="AQ747" s="7383"/>
      <c r="AR747" s="7383"/>
      <c r="AS747" s="7380"/>
      <c r="AT747" s="7380"/>
      <c r="AU747" s="7381"/>
      <c r="AV747" s="7380"/>
      <c r="AW747" s="7381"/>
      <c r="AX747" s="7380"/>
      <c r="AY747" s="7380"/>
      <c r="AZ747" s="7380"/>
      <c r="BA747" s="7380"/>
      <c r="BB747" s="7385"/>
      <c r="BC747" s="2260"/>
      <c r="BD747" s="1648"/>
      <c r="BE747" s="1630"/>
      <c r="BF747" s="1630"/>
      <c r="BG747" s="1630"/>
      <c r="BH747" s="1630"/>
      <c r="BI747" s="1641">
        <v>0</v>
      </c>
    </row>
    <row customHeight="1" ht="14.25">
      <c r="A748" s="1369"/>
      <c r="B748" s="1369"/>
      <c r="C748" s="1369"/>
      <c r="D748" s="1369"/>
      <c r="E748" s="2265"/>
      <c r="F748" s="2265"/>
      <c r="G748" s="2265"/>
      <c r="H748" s="2265"/>
      <c r="I748" s="2292"/>
      <c r="J748" s="2292"/>
      <c r="K748" s="2262" t="str">
        <f>S450&amp;".10"</f>
        <v>3.1.1.10</v>
      </c>
      <c r="L748" s="1375"/>
      <c r="M748" s="1782"/>
      <c r="N748" s="1782"/>
      <c r="O748" s="1782"/>
      <c r="P748" s="2380"/>
      <c r="Q748" s="2380"/>
      <c r="R748" s="2353"/>
      <c r="S748" s="2348"/>
      <c r="T748" s="2367"/>
      <c r="U748" s="306"/>
      <c r="V748" s="7380"/>
      <c r="W748" s="7381"/>
      <c r="X748" s="7380"/>
      <c r="Y748" s="7381"/>
      <c r="Z748" s="7380"/>
      <c r="AA748" s="7380"/>
      <c r="AB748" s="7380"/>
      <c r="AC748" s="7380"/>
      <c r="AD748" s="2192"/>
      <c r="AE748" s="2332"/>
      <c r="AF748" s="2443"/>
      <c r="AG748" s="3339" t="s">
        <v>28</v>
      </c>
      <c r="AH748" s="2113"/>
      <c r="AI748" s="7408"/>
      <c r="AJ748" s="7409"/>
      <c r="AK748" s="7576" t="s">
        <v>517</v>
      </c>
      <c r="AL748" s="7380"/>
      <c r="AM748" s="7380"/>
      <c r="AN748" s="7380"/>
      <c r="AO748" s="7380"/>
      <c r="AP748" s="7380"/>
      <c r="AQ748" s="7380"/>
      <c r="AR748" s="7380"/>
      <c r="AS748" s="7380"/>
      <c r="AT748" s="7380"/>
      <c r="AU748" s="7381"/>
      <c r="AV748" s="7380"/>
      <c r="AW748" s="7381"/>
      <c r="AX748" s="7380"/>
      <c r="AY748" s="7380"/>
      <c r="AZ748" s="7380"/>
      <c r="BA748" s="7380"/>
      <c r="BB748" s="7385"/>
      <c r="BC748" s="2260"/>
      <c r="BD748" s="1648"/>
      <c r="BE748" s="1630"/>
      <c r="BF748" s="1630"/>
      <c r="BG748" s="1630"/>
      <c r="BH748" s="1630"/>
      <c r="BI748" s="1641">
        <v>0</v>
      </c>
    </row>
    <row customHeight="1" ht="14.25">
      <c r="A749" s="1369"/>
      <c r="B749" s="1369"/>
      <c r="C749" s="1369"/>
      <c r="D749" s="1369"/>
      <c r="E749" s="2265"/>
      <c r="F749" s="2265"/>
      <c r="G749" s="2265"/>
      <c r="H749" s="2265"/>
      <c r="I749" s="2292"/>
      <c r="J749" s="2292"/>
      <c r="K749" s="2262" t="str">
        <f>S450&amp;".10"</f>
        <v>3.1.1.10</v>
      </c>
      <c r="L749" s="1375"/>
      <c r="M749" s="1782"/>
      <c r="N749" s="1782"/>
      <c r="O749" s="1782"/>
      <c r="P749" s="2380"/>
      <c r="Q749" s="2380"/>
      <c r="R749" s="2353"/>
      <c r="S749" s="2349"/>
      <c r="T749" s="2368"/>
      <c r="U749" s="306"/>
      <c r="V749" s="7380"/>
      <c r="W749" s="7577" t="str">
        <f>Z726&amp;"-"&amp;AB726</f>
        <v>-</v>
      </c>
      <c r="X749" s="7380"/>
      <c r="Y749" s="7578" t="str">
        <f>AB726&amp;"-"&amp;AD726</f>
        <v>-нет</v>
      </c>
      <c r="Z749" s="7380"/>
      <c r="AA749" s="7380"/>
      <c r="AB749" s="7380"/>
      <c r="AC749" s="7380"/>
      <c r="AD749" s="2118"/>
      <c r="AE749" s="7413"/>
      <c r="AF749" s="7414"/>
      <c r="AG749" s="7579" t="s">
        <v>518</v>
      </c>
      <c r="AH749" s="7380"/>
      <c r="AI749" s="7380"/>
      <c r="AJ749" s="7380"/>
      <c r="AK749" s="7380"/>
      <c r="AL749" s="7380"/>
      <c r="AM749" s="7380"/>
      <c r="AN749" s="7380"/>
      <c r="AO749" s="7380"/>
      <c r="AP749" s="7380"/>
      <c r="AQ749" s="7380"/>
      <c r="AR749" s="7380"/>
      <c r="AS749" s="7380"/>
      <c r="AT749" s="7380"/>
      <c r="AU749" s="7580" t="str">
        <f>AX726&amp;"-"&amp;AZ726</f>
        <v>46023.38832175926-46387.40443287037</v>
      </c>
      <c r="AV749" s="7380"/>
      <c r="AW749" s="7581" t="str">
        <f>AZ726&amp;"-"&amp;BB726</f>
        <v>46387.40443287037-</v>
      </c>
      <c r="AX749" s="7380"/>
      <c r="AY749" s="7380"/>
      <c r="AZ749" s="7380"/>
      <c r="BA749" s="7380"/>
      <c r="BB749" s="7582" t="str">
        <f>BE726&amp;"-"&amp;BG726</f>
        <v>-</v>
      </c>
      <c r="BC749" s="2260"/>
      <c r="BD749" s="1648"/>
      <c r="BE749" s="1630"/>
      <c r="BF749" s="1630" t="str">
        <f>IF(T749="","",T749)</f>
        <v/>
      </c>
      <c r="BG749" s="1630"/>
      <c r="BH749" s="1630"/>
      <c r="BI749" s="1641">
        <v>0</v>
      </c>
    </row>
    <row customHeight="1" ht="14.25">
      <c r="A750" s="1369"/>
      <c r="B750" s="1369"/>
      <c r="C750" s="1369"/>
      <c r="D750" s="1369"/>
      <c r="E750" s="2265"/>
      <c r="F750" s="2265"/>
      <c r="G750" s="2265"/>
      <c r="H750" s="2265"/>
      <c r="I750" s="2292"/>
      <c r="J750" s="2292"/>
      <c r="K750" s="2262" t="str">
        <f>S450&amp;".12"</f>
        <v>3.1.1.12</v>
      </c>
      <c r="L750" s="1375"/>
      <c r="M750" s="1782"/>
      <c r="N750" s="1782"/>
      <c r="O750" s="1782"/>
      <c r="P750" s="2380"/>
      <c r="Q750" s="2380"/>
      <c r="R750" s="689" t="s">
        <v>253</v>
      </c>
      <c r="S750" s="2347" t="str">
        <f>$K750</f>
        <v>3.1.1.12</v>
      </c>
      <c r="T750" s="2366" t="s">
        <v>549</v>
      </c>
      <c r="U750" s="306"/>
      <c r="V750" s="757"/>
      <c r="W750" s="1263"/>
      <c r="X750" s="757"/>
      <c r="Y750" s="1263"/>
      <c r="Z750" s="2608"/>
      <c r="AA750" s="2113" t="s">
        <v>62</v>
      </c>
      <c r="AB750" s="2608"/>
      <c r="AC750" s="2113" t="s">
        <v>62</v>
      </c>
      <c r="AD750" s="2191" t="s">
        <v>19</v>
      </c>
      <c r="AE750" s="2332"/>
      <c r="AF750" s="2443">
        <v>1</v>
      </c>
      <c r="AG750" s="3339" t="s">
        <v>28</v>
      </c>
      <c r="AH750" s="2113" t="s">
        <v>62</v>
      </c>
      <c r="AI750" s="2332"/>
      <c r="AJ750" s="2443">
        <v>1</v>
      </c>
      <c r="AK750" s="2333" t="s">
        <v>532</v>
      </c>
      <c r="AL750" s="2113" t="s">
        <v>19</v>
      </c>
      <c r="AM750" s="2300"/>
      <c r="AN750" s="2443">
        <v>1</v>
      </c>
      <c r="AO750" s="3340" t="s">
        <v>28</v>
      </c>
      <c r="AP750" s="2364" t="s">
        <v>62</v>
      </c>
      <c r="AQ750" s="317"/>
      <c r="AR750" s="2443">
        <v>1</v>
      </c>
      <c r="AS750" s="2582" t="s">
        <v>541</v>
      </c>
      <c r="AT750" s="757"/>
      <c r="AU750" s="1263"/>
      <c r="AV750" s="757"/>
      <c r="AW750" s="1263">
        <v>9874.05</v>
      </c>
      <c r="AX750" s="2608">
        <v>46023.38872685185</v>
      </c>
      <c r="AY750" s="2113" t="s">
        <v>62</v>
      </c>
      <c r="AZ750" s="2608">
        <v>46387.40526620371</v>
      </c>
      <c r="BA750" s="2113" t="s">
        <v>62</v>
      </c>
      <c r="BB750" s="1354"/>
      <c r="BC750" s="2259" t="s">
        <v>514</v>
      </c>
      <c r="BD750" s="1648"/>
      <c r="BE750" s="1630"/>
      <c r="BF750" s="1630" t="str">
        <f>IF(T750="","",T750)</f>
        <v>Бесканальная прокладка трубопроводов водоснабжения в изоляции из пенополиуретана (ППУ),  с работой на отвале, диаметр труб: </v>
      </c>
      <c r="BG750" s="1630"/>
      <c r="BH750" s="1630"/>
      <c r="BI750" s="1641">
        <v>0</v>
      </c>
    </row>
    <row customHeight="1" ht="14.25">
      <c r="A751" s="1369"/>
      <c r="B751" s="1369"/>
      <c r="C751" s="1369"/>
      <c r="D751" s="1369"/>
      <c r="E751" s="2265"/>
      <c r="F751" s="2265"/>
      <c r="G751" s="2265"/>
      <c r="H751" s="2265"/>
      <c r="I751" s="2292"/>
      <c r="J751" s="2292"/>
      <c r="K751" s="2262" t="str">
        <f>S747&amp;".1"</f>
        <v>.1</v>
      </c>
      <c r="L751" s="1375"/>
      <c r="M751" s="1782"/>
      <c r="N751" s="1782"/>
      <c r="O751" s="1782"/>
      <c r="P751" s="2380"/>
      <c r="Q751" s="2380"/>
      <c r="R751" s="2353">
        <v>1</v>
      </c>
      <c r="S751" s="2347" t="str">
        <f>$K751</f>
        <v>.1</v>
      </c>
      <c r="T751" s="2366"/>
      <c r="U751" s="306"/>
      <c r="V751" s="757"/>
      <c r="W751" s="1263"/>
      <c r="X751" s="757"/>
      <c r="Y751" s="1263"/>
      <c r="Z751" s="2608"/>
      <c r="AA751" s="2113" t="s">
        <v>62</v>
      </c>
      <c r="AB751" s="2608"/>
      <c r="AC751" s="2113" t="s">
        <v>62</v>
      </c>
      <c r="AD751" s="2191" t="s">
        <v>62</v>
      </c>
      <c r="AE751" s="2332"/>
      <c r="AF751" s="2443">
        <v>1</v>
      </c>
      <c r="AG751" s="2369"/>
      <c r="AH751" s="2113" t="s">
        <v>62</v>
      </c>
      <c r="AI751" s="2332"/>
      <c r="AJ751" s="2443">
        <v>1</v>
      </c>
      <c r="AK751" s="2333" t="s">
        <v>28</v>
      </c>
      <c r="AL751" s="2113" t="s">
        <v>62</v>
      </c>
      <c r="AM751" s="2300"/>
      <c r="AN751" s="2443">
        <v>1</v>
      </c>
      <c r="AO751" s="2363"/>
      <c r="AP751" s="2364" t="s">
        <v>62</v>
      </c>
      <c r="AQ751" s="689" t="s">
        <v>253</v>
      </c>
      <c r="AR751" s="2443" t="s">
        <v>112</v>
      </c>
      <c r="AS751" s="2582" t="s">
        <v>541</v>
      </c>
      <c r="AT751" s="757"/>
      <c r="AU751" s="1263"/>
      <c r="AV751" s="757"/>
      <c r="AW751" s="1263">
        <v>12659.35</v>
      </c>
      <c r="AX751" s="2608">
        <v>46023.38885416667</v>
      </c>
      <c r="AY751" s="2113" t="s">
        <v>62</v>
      </c>
      <c r="AZ751" s="2608">
        <v>46387.40534722222</v>
      </c>
      <c r="BA751" s="2113" t="s">
        <v>62</v>
      </c>
      <c r="BB751" s="1354"/>
      <c r="BC751" s="2259" t="s">
        <v>514</v>
      </c>
      <c r="BD751" s="1648"/>
      <c r="BE751" s="1630"/>
      <c r="BF751" s="1630" t="str">
        <f>IF(T751="","",T751)</f>
        <v/>
      </c>
      <c r="BG751" s="1630"/>
      <c r="BH751" s="1630"/>
      <c r="BI751" s="1641">
        <v>0</v>
      </c>
    </row>
    <row customHeight="1" ht="14.25">
      <c r="A752" s="1369"/>
      <c r="B752" s="1369"/>
      <c r="C752" s="1369"/>
      <c r="D752" s="1369"/>
      <c r="E752" s="2265"/>
      <c r="F752" s="2265"/>
      <c r="G752" s="2265"/>
      <c r="H752" s="2265"/>
      <c r="I752" s="2292"/>
      <c r="J752" s="2292"/>
      <c r="K752" s="2262" t="str">
        <f>S450&amp;".11"</f>
        <v>3.1.1.11</v>
      </c>
      <c r="L752" s="1375"/>
      <c r="M752" s="1782"/>
      <c r="N752" s="1782"/>
      <c r="O752" s="1782"/>
      <c r="P752" s="2380"/>
      <c r="Q752" s="2380"/>
      <c r="R752" s="2353"/>
      <c r="S752" s="2348"/>
      <c r="T752" s="2367"/>
      <c r="U752" s="306"/>
      <c r="V752" s="7380"/>
      <c r="W752" s="7381"/>
      <c r="X752" s="7380"/>
      <c r="Y752" s="7381"/>
      <c r="Z752" s="7380"/>
      <c r="AA752" s="7380"/>
      <c r="AB752" s="7380"/>
      <c r="AC752" s="7380"/>
      <c r="AD752" s="2192"/>
      <c r="AE752" s="2332"/>
      <c r="AF752" s="2443"/>
      <c r="AG752" s="3339" t="s">
        <v>28</v>
      </c>
      <c r="AH752" s="2113"/>
      <c r="AI752" s="2332"/>
      <c r="AJ752" s="2443"/>
      <c r="AK752" s="2333"/>
      <c r="AL752" s="2113"/>
      <c r="AM752" s="2301"/>
      <c r="AN752" s="2443"/>
      <c r="AO752" s="3340" t="s">
        <v>28</v>
      </c>
      <c r="AP752" s="2365"/>
      <c r="AQ752" s="7382"/>
      <c r="AR752" s="7383"/>
      <c r="AS752" s="7583" t="s">
        <v>515</v>
      </c>
      <c r="AT752" s="7380"/>
      <c r="AU752" s="7381"/>
      <c r="AV752" s="7380"/>
      <c r="AW752" s="7381"/>
      <c r="AX752" s="7380"/>
      <c r="AY752" s="7380"/>
      <c r="AZ752" s="7380"/>
      <c r="BA752" s="7380"/>
      <c r="BB752" s="7385"/>
      <c r="BC752" s="2260"/>
      <c r="BD752" s="1648"/>
      <c r="BE752" s="1630"/>
      <c r="BF752" s="1630"/>
      <c r="BG752" s="1630"/>
      <c r="BH752" s="1630"/>
      <c r="BI752" s="1641">
        <v>0</v>
      </c>
    </row>
    <row customHeight="1" ht="14.25">
      <c r="A753" s="1369"/>
      <c r="B753" s="1369"/>
      <c r="C753" s="1369"/>
      <c r="D753" s="1369"/>
      <c r="E753" s="2265"/>
      <c r="F753" s="2265"/>
      <c r="G753" s="2265"/>
      <c r="H753" s="2265"/>
      <c r="I753" s="2292"/>
      <c r="J753" s="2292"/>
      <c r="K753" s="2262" t="str">
        <f>S450&amp;".11"</f>
        <v>3.1.1.11</v>
      </c>
      <c r="L753" s="1375"/>
      <c r="M753" s="1782"/>
      <c r="N753" s="1782"/>
      <c r="O753" s="1782"/>
      <c r="P753" s="2380"/>
      <c r="Q753" s="2380"/>
      <c r="R753" s="2353"/>
      <c r="S753" s="2348"/>
      <c r="T753" s="2367"/>
      <c r="U753" s="306"/>
      <c r="V753" s="7380"/>
      <c r="W753" s="7381"/>
      <c r="X753" s="7380"/>
      <c r="Y753" s="7381"/>
      <c r="Z753" s="7380"/>
      <c r="AA753" s="7380"/>
      <c r="AB753" s="7380"/>
      <c r="AC753" s="7380"/>
      <c r="AD753" s="2192"/>
      <c r="AE753" s="2332"/>
      <c r="AF753" s="2443"/>
      <c r="AG753" s="3339" t="s">
        <v>28</v>
      </c>
      <c r="AH753" s="2113"/>
      <c r="AI753" s="2332"/>
      <c r="AJ753" s="2443"/>
      <c r="AK753" s="2333"/>
      <c r="AL753" s="2113"/>
      <c r="AM753" s="7382"/>
      <c r="AN753" s="7386"/>
      <c r="AO753" s="7584" t="s">
        <v>516</v>
      </c>
      <c r="AP753" s="7383"/>
      <c r="AQ753" s="7383"/>
      <c r="AR753" s="7383"/>
      <c r="AS753" s="7380"/>
      <c r="AT753" s="7380"/>
      <c r="AU753" s="7381"/>
      <c r="AV753" s="7380"/>
      <c r="AW753" s="7381"/>
      <c r="AX753" s="7380"/>
      <c r="AY753" s="7380"/>
      <c r="AZ753" s="7380"/>
      <c r="BA753" s="7380"/>
      <c r="BB753" s="7385"/>
      <c r="BC753" s="2260"/>
      <c r="BD753" s="1648"/>
      <c r="BE753" s="1630"/>
      <c r="BF753" s="1630"/>
      <c r="BG753" s="1630"/>
      <c r="BH753" s="1630"/>
      <c r="BI753" s="1641">
        <v>0</v>
      </c>
    </row>
    <row customHeight="1" ht="14.25">
      <c r="A754" s="1369"/>
      <c r="B754" s="1369"/>
      <c r="C754" s="1369"/>
      <c r="D754" s="1369"/>
      <c r="E754" s="2265"/>
      <c r="F754" s="2265"/>
      <c r="G754" s="2265"/>
      <c r="H754" s="2265"/>
      <c r="I754" s="2292"/>
      <c r="J754" s="2292"/>
      <c r="K754" s="2262" t="str">
        <f>S749&amp;".1"</f>
        <v>.1</v>
      </c>
      <c r="L754" s="1375"/>
      <c r="M754" s="1782"/>
      <c r="N754" s="1782"/>
      <c r="O754" s="1782"/>
      <c r="P754" s="2380"/>
      <c r="Q754" s="2380"/>
      <c r="R754" s="2353">
        <v>1</v>
      </c>
      <c r="S754" s="2347" t="str">
        <f>$K754</f>
        <v>.1</v>
      </c>
      <c r="T754" s="2366"/>
      <c r="U754" s="306"/>
      <c r="V754" s="757"/>
      <c r="W754" s="1263"/>
      <c r="X754" s="757"/>
      <c r="Y754" s="1263"/>
      <c r="Z754" s="2608"/>
      <c r="AA754" s="2113" t="s">
        <v>62</v>
      </c>
      <c r="AB754" s="2608"/>
      <c r="AC754" s="2113" t="s">
        <v>62</v>
      </c>
      <c r="AD754" s="2191" t="s">
        <v>62</v>
      </c>
      <c r="AE754" s="2332"/>
      <c r="AF754" s="2443">
        <v>1</v>
      </c>
      <c r="AG754" s="2369"/>
      <c r="AH754" s="2113" t="s">
        <v>62</v>
      </c>
      <c r="AI754" s="689" t="s">
        <v>253</v>
      </c>
      <c r="AJ754" s="2443" t="s">
        <v>112</v>
      </c>
      <c r="AK754" s="2333" t="s">
        <v>533</v>
      </c>
      <c r="AL754" s="2113" t="s">
        <v>19</v>
      </c>
      <c r="AM754" s="2300"/>
      <c r="AN754" s="2443">
        <v>1</v>
      </c>
      <c r="AO754" s="3340" t="s">
        <v>28</v>
      </c>
      <c r="AP754" s="2364" t="s">
        <v>62</v>
      </c>
      <c r="AQ754" s="317"/>
      <c r="AR754" s="2443">
        <v>1</v>
      </c>
      <c r="AS754" s="2582" t="s">
        <v>541</v>
      </c>
      <c r="AT754" s="757"/>
      <c r="AU754" s="1263"/>
      <c r="AV754" s="757"/>
      <c r="AW754" s="1263">
        <v>14060.22</v>
      </c>
      <c r="AX754" s="2608">
        <v>46023.38888888889</v>
      </c>
      <c r="AY754" s="2113" t="s">
        <v>62</v>
      </c>
      <c r="AZ754" s="2608">
        <v>46387.40542824074</v>
      </c>
      <c r="BA754" s="2113" t="s">
        <v>62</v>
      </c>
      <c r="BB754" s="1354"/>
      <c r="BC754" s="2259" t="s">
        <v>514</v>
      </c>
      <c r="BD754" s="1648"/>
      <c r="BE754" s="1630"/>
      <c r="BF754" s="1630" t="str">
        <f>IF(T754="","",T754)</f>
        <v/>
      </c>
      <c r="BG754" s="1630"/>
      <c r="BH754" s="1630"/>
      <c r="BI754" s="1641">
        <v>0</v>
      </c>
    </row>
    <row customHeight="1" ht="14.25">
      <c r="A755" s="1369"/>
      <c r="B755" s="1369"/>
      <c r="C755" s="1369"/>
      <c r="D755" s="1369"/>
      <c r="E755" s="2265"/>
      <c r="F755" s="2265"/>
      <c r="G755" s="2265"/>
      <c r="H755" s="2265"/>
      <c r="I755" s="2292"/>
      <c r="J755" s="2292"/>
      <c r="K755" s="2262" t="str">
        <f>S751&amp;".1"</f>
        <v>.1.1</v>
      </c>
      <c r="L755" s="1375"/>
      <c r="M755" s="1782"/>
      <c r="N755" s="1782"/>
      <c r="O755" s="1782"/>
      <c r="P755" s="2380"/>
      <c r="Q755" s="2380"/>
      <c r="R755" s="2353">
        <v>1</v>
      </c>
      <c r="S755" s="2347" t="str">
        <f>$K755</f>
        <v>.1.1</v>
      </c>
      <c r="T755" s="2366"/>
      <c r="U755" s="306"/>
      <c r="V755" s="757"/>
      <c r="W755" s="1263"/>
      <c r="X755" s="757"/>
      <c r="Y755" s="1263"/>
      <c r="Z755" s="2608"/>
      <c r="AA755" s="2113" t="s">
        <v>62</v>
      </c>
      <c r="AB755" s="2608"/>
      <c r="AC755" s="2113" t="s">
        <v>62</v>
      </c>
      <c r="AD755" s="2191" t="s">
        <v>62</v>
      </c>
      <c r="AE755" s="2332"/>
      <c r="AF755" s="2443">
        <v>1</v>
      </c>
      <c r="AG755" s="2369"/>
      <c r="AH755" s="2113" t="s">
        <v>62</v>
      </c>
      <c r="AI755" s="2332"/>
      <c r="AJ755" s="2443">
        <v>1</v>
      </c>
      <c r="AK755" s="2333" t="s">
        <v>28</v>
      </c>
      <c r="AL755" s="2113" t="s">
        <v>62</v>
      </c>
      <c r="AM755" s="2300"/>
      <c r="AN755" s="2443">
        <v>1</v>
      </c>
      <c r="AO755" s="3340" t="s">
        <v>28</v>
      </c>
      <c r="AP755" s="2364" t="s">
        <v>62</v>
      </c>
      <c r="AQ755" s="689" t="s">
        <v>253</v>
      </c>
      <c r="AR755" s="2443" t="s">
        <v>112</v>
      </c>
      <c r="AS755" s="2582" t="s">
        <v>541</v>
      </c>
      <c r="AT755" s="757"/>
      <c r="AU755" s="1263"/>
      <c r="AV755" s="757"/>
      <c r="AW755" s="1263">
        <v>17062.34</v>
      </c>
      <c r="AX755" s="2608">
        <v>46023.38892361111</v>
      </c>
      <c r="AY755" s="2113" t="s">
        <v>62</v>
      </c>
      <c r="AZ755" s="2608">
        <v>46387.405486111114</v>
      </c>
      <c r="BA755" s="2113" t="s">
        <v>62</v>
      </c>
      <c r="BB755" s="1354"/>
      <c r="BC755" s="2259" t="s">
        <v>514</v>
      </c>
      <c r="BD755" s="1648"/>
      <c r="BE755" s="1630"/>
      <c r="BF755" s="1630" t="str">
        <f>IF(T755="","",T755)</f>
        <v/>
      </c>
      <c r="BG755" s="1630"/>
      <c r="BH755" s="1630"/>
      <c r="BI755" s="1641">
        <v>0</v>
      </c>
    </row>
    <row customHeight="1" ht="14.25">
      <c r="A756" s="1369"/>
      <c r="B756" s="1369"/>
      <c r="C756" s="1369"/>
      <c r="D756" s="1369"/>
      <c r="E756" s="2265"/>
      <c r="F756" s="2265"/>
      <c r="G756" s="2265"/>
      <c r="H756" s="2265"/>
      <c r="I756" s="2292"/>
      <c r="J756" s="2292"/>
      <c r="K756" s="2262"/>
      <c r="L756" s="1375"/>
      <c r="M756" s="1782"/>
      <c r="N756" s="1782"/>
      <c r="O756" s="1782"/>
      <c r="P756" s="2380"/>
      <c r="Q756" s="2380"/>
      <c r="R756" s="2353"/>
      <c r="S756" s="2348"/>
      <c r="T756" s="2367"/>
      <c r="U756" s="306"/>
      <c r="V756" s="7380"/>
      <c r="W756" s="7381"/>
      <c r="X756" s="7380"/>
      <c r="Y756" s="7381"/>
      <c r="Z756" s="7380"/>
      <c r="AA756" s="7380"/>
      <c r="AB756" s="7380"/>
      <c r="AC756" s="7380"/>
      <c r="AD756" s="2192"/>
      <c r="AE756" s="2332"/>
      <c r="AF756" s="2443"/>
      <c r="AG756" s="2369"/>
      <c r="AH756" s="2113"/>
      <c r="AI756" s="2332"/>
      <c r="AJ756" s="2443">
        <v>1</v>
      </c>
      <c r="AK756" s="2333"/>
      <c r="AL756" s="2113"/>
      <c r="AM756" s="2301"/>
      <c r="AN756" s="2443"/>
      <c r="AO756" s="3340" t="s">
        <v>28</v>
      </c>
      <c r="AP756" s="2365"/>
      <c r="AQ756" s="7382"/>
      <c r="AR756" s="7383"/>
      <c r="AS756" s="7585" t="s">
        <v>515</v>
      </c>
      <c r="AT756" s="7380"/>
      <c r="AU756" s="7381"/>
      <c r="AV756" s="7380"/>
      <c r="AW756" s="7381"/>
      <c r="AX756" s="7380"/>
      <c r="AY756" s="7380"/>
      <c r="AZ756" s="7380"/>
      <c r="BA756" s="7380"/>
      <c r="BB756" s="7385"/>
      <c r="BC756" s="2260"/>
      <c r="BD756" s="1648"/>
      <c r="BE756" s="1630"/>
      <c r="BF756" s="1630"/>
      <c r="BG756" s="1630"/>
      <c r="BH756" s="1630"/>
      <c r="BI756" s="1641">
        <v>0</v>
      </c>
    </row>
    <row customHeight="1" ht="14.25">
      <c r="A757" s="1369"/>
      <c r="B757" s="1369"/>
      <c r="C757" s="1369"/>
      <c r="D757" s="1369"/>
      <c r="E757" s="2265"/>
      <c r="F757" s="2265"/>
      <c r="G757" s="2265"/>
      <c r="H757" s="2265"/>
      <c r="I757" s="2292"/>
      <c r="J757" s="2292"/>
      <c r="K757" s="2262"/>
      <c r="L757" s="1375"/>
      <c r="M757" s="1782"/>
      <c r="N757" s="1782"/>
      <c r="O757" s="1782"/>
      <c r="P757" s="2380"/>
      <c r="Q757" s="2380"/>
      <c r="R757" s="2353"/>
      <c r="S757" s="2348"/>
      <c r="T757" s="2367"/>
      <c r="U757" s="306"/>
      <c r="V757" s="7380"/>
      <c r="W757" s="7381"/>
      <c r="X757" s="7380"/>
      <c r="Y757" s="7381"/>
      <c r="Z757" s="7380"/>
      <c r="AA757" s="7380"/>
      <c r="AB757" s="7380"/>
      <c r="AC757" s="7380"/>
      <c r="AD757" s="2192"/>
      <c r="AE757" s="2332"/>
      <c r="AF757" s="2443"/>
      <c r="AG757" s="2369"/>
      <c r="AH757" s="2113"/>
      <c r="AI757" s="2332"/>
      <c r="AJ757" s="2443">
        <v>1</v>
      </c>
      <c r="AK757" s="2333"/>
      <c r="AL757" s="2113"/>
      <c r="AM757" s="7382"/>
      <c r="AN757" s="7386"/>
      <c r="AO757" s="7586" t="s">
        <v>516</v>
      </c>
      <c r="AP757" s="7383"/>
      <c r="AQ757" s="7383"/>
      <c r="AR757" s="7383"/>
      <c r="AS757" s="7380"/>
      <c r="AT757" s="7380"/>
      <c r="AU757" s="7381"/>
      <c r="AV757" s="7380"/>
      <c r="AW757" s="7381"/>
      <c r="AX757" s="7380"/>
      <c r="AY757" s="7380"/>
      <c r="AZ757" s="7380"/>
      <c r="BA757" s="7380"/>
      <c r="BB757" s="7385"/>
      <c r="BC757" s="2260"/>
      <c r="BD757" s="1648"/>
      <c r="BE757" s="1630"/>
      <c r="BF757" s="1630"/>
      <c r="BG757" s="1630"/>
      <c r="BH757" s="1630"/>
      <c r="BI757" s="1641">
        <v>0</v>
      </c>
    </row>
    <row customHeight="1" ht="14.25">
      <c r="A758" s="1369"/>
      <c r="B758" s="1369"/>
      <c r="C758" s="1369"/>
      <c r="D758" s="1369"/>
      <c r="E758" s="2265"/>
      <c r="F758" s="2265"/>
      <c r="G758" s="2265"/>
      <c r="H758" s="2265"/>
      <c r="I758" s="2292"/>
      <c r="J758" s="2292"/>
      <c r="K758" s="2262" t="str">
        <f>S753&amp;".1"</f>
        <v>.1</v>
      </c>
      <c r="L758" s="1375"/>
      <c r="M758" s="1782"/>
      <c r="N758" s="1782"/>
      <c r="O758" s="1782"/>
      <c r="P758" s="2380"/>
      <c r="Q758" s="2380"/>
      <c r="R758" s="2353">
        <v>1</v>
      </c>
      <c r="S758" s="2347" t="str">
        <f>$K758</f>
        <v>.1</v>
      </c>
      <c r="T758" s="2366"/>
      <c r="U758" s="306"/>
      <c r="V758" s="757"/>
      <c r="W758" s="1263"/>
      <c r="X758" s="757"/>
      <c r="Y758" s="1263"/>
      <c r="Z758" s="2608"/>
      <c r="AA758" s="2113" t="s">
        <v>62</v>
      </c>
      <c r="AB758" s="2608"/>
      <c r="AC758" s="2113" t="s">
        <v>62</v>
      </c>
      <c r="AD758" s="2191" t="s">
        <v>62</v>
      </c>
      <c r="AE758" s="2332"/>
      <c r="AF758" s="2443">
        <v>1</v>
      </c>
      <c r="AG758" s="2369"/>
      <c r="AH758" s="2113" t="s">
        <v>62</v>
      </c>
      <c r="AI758" s="689" t="s">
        <v>253</v>
      </c>
      <c r="AJ758" s="2443" t="s">
        <v>91</v>
      </c>
      <c r="AK758" s="2333" t="s">
        <v>534</v>
      </c>
      <c r="AL758" s="2113" t="s">
        <v>19</v>
      </c>
      <c r="AM758" s="2300"/>
      <c r="AN758" s="2443">
        <v>1</v>
      </c>
      <c r="AO758" s="3340" t="s">
        <v>28</v>
      </c>
      <c r="AP758" s="2364" t="s">
        <v>62</v>
      </c>
      <c r="AQ758" s="317"/>
      <c r="AR758" s="2443">
        <v>1</v>
      </c>
      <c r="AS758" s="2582" t="s">
        <v>541</v>
      </c>
      <c r="AT758" s="757"/>
      <c r="AU758" s="1263"/>
      <c r="AV758" s="757"/>
      <c r="AW758" s="1263">
        <v>19181.47</v>
      </c>
      <c r="AX758" s="2608">
        <v>46023.38895833334</v>
      </c>
      <c r="AY758" s="2113" t="s">
        <v>62</v>
      </c>
      <c r="AZ758" s="2608">
        <v>46387.40555555555</v>
      </c>
      <c r="BA758" s="2113" t="s">
        <v>62</v>
      </c>
      <c r="BB758" s="1354"/>
      <c r="BC758" s="2259" t="s">
        <v>514</v>
      </c>
      <c r="BD758" s="1648"/>
      <c r="BE758" s="1630"/>
      <c r="BF758" s="1630" t="str">
        <f>IF(T758="","",T758)</f>
        <v/>
      </c>
      <c r="BG758" s="1630"/>
      <c r="BH758" s="1630"/>
      <c r="BI758" s="1641">
        <v>0</v>
      </c>
    </row>
    <row customHeight="1" ht="14.25">
      <c r="A759" s="1369"/>
      <c r="B759" s="1369"/>
      <c r="C759" s="1369"/>
      <c r="D759" s="1369"/>
      <c r="E759" s="2265"/>
      <c r="F759" s="2265"/>
      <c r="G759" s="2265"/>
      <c r="H759" s="2265"/>
      <c r="I759" s="2292"/>
      <c r="J759" s="2292"/>
      <c r="K759" s="2262" t="str">
        <f>S755&amp;".1"</f>
        <v>.1.1.1</v>
      </c>
      <c r="L759" s="1375"/>
      <c r="M759" s="1782"/>
      <c r="N759" s="1782"/>
      <c r="O759" s="1782"/>
      <c r="P759" s="2380"/>
      <c r="Q759" s="2380"/>
      <c r="R759" s="2353">
        <v>1</v>
      </c>
      <c r="S759" s="2347" t="str">
        <f>$K759</f>
        <v>.1.1.1</v>
      </c>
      <c r="T759" s="2366"/>
      <c r="U759" s="306"/>
      <c r="V759" s="757"/>
      <c r="W759" s="1263"/>
      <c r="X759" s="757"/>
      <c r="Y759" s="1263"/>
      <c r="Z759" s="2608"/>
      <c r="AA759" s="2113" t="s">
        <v>62</v>
      </c>
      <c r="AB759" s="2608"/>
      <c r="AC759" s="2113" t="s">
        <v>62</v>
      </c>
      <c r="AD759" s="2191" t="s">
        <v>62</v>
      </c>
      <c r="AE759" s="2332"/>
      <c r="AF759" s="2443">
        <v>1</v>
      </c>
      <c r="AG759" s="2369"/>
      <c r="AH759" s="2113" t="s">
        <v>62</v>
      </c>
      <c r="AI759" s="2332"/>
      <c r="AJ759" s="2443">
        <v>1</v>
      </c>
      <c r="AK759" s="2333" t="s">
        <v>28</v>
      </c>
      <c r="AL759" s="2113" t="s">
        <v>62</v>
      </c>
      <c r="AM759" s="2300"/>
      <c r="AN759" s="2443">
        <v>1</v>
      </c>
      <c r="AO759" s="3340" t="s">
        <v>28</v>
      </c>
      <c r="AP759" s="2364" t="s">
        <v>62</v>
      </c>
      <c r="AQ759" s="689" t="s">
        <v>253</v>
      </c>
      <c r="AR759" s="2443" t="s">
        <v>112</v>
      </c>
      <c r="AS759" s="2582" t="s">
        <v>541</v>
      </c>
      <c r="AT759" s="757"/>
      <c r="AU759" s="1263"/>
      <c r="AV759" s="757"/>
      <c r="AW759" s="1263">
        <v>20603.3</v>
      </c>
      <c r="AX759" s="2608">
        <v>46023.38899305555</v>
      </c>
      <c r="AY759" s="2113" t="s">
        <v>62</v>
      </c>
      <c r="AZ759" s="2608">
        <v>46387.405636574076</v>
      </c>
      <c r="BA759" s="2113" t="s">
        <v>62</v>
      </c>
      <c r="BB759" s="1354"/>
      <c r="BC759" s="2259" t="s">
        <v>514</v>
      </c>
      <c r="BD759" s="1648"/>
      <c r="BE759" s="1630"/>
      <c r="BF759" s="1630" t="str">
        <f>IF(T759="","",T759)</f>
        <v/>
      </c>
      <c r="BG759" s="1630"/>
      <c r="BH759" s="1630"/>
      <c r="BI759" s="1641">
        <v>0</v>
      </c>
    </row>
    <row customHeight="1" ht="14.25">
      <c r="A760" s="1369"/>
      <c r="B760" s="1369"/>
      <c r="C760" s="1369"/>
      <c r="D760" s="1369"/>
      <c r="E760" s="2265"/>
      <c r="F760" s="2265"/>
      <c r="G760" s="2265"/>
      <c r="H760" s="2265"/>
      <c r="I760" s="2292"/>
      <c r="J760" s="2292"/>
      <c r="K760" s="2262"/>
      <c r="L760" s="1375"/>
      <c r="M760" s="1782"/>
      <c r="N760" s="1782"/>
      <c r="O760" s="1782"/>
      <c r="P760" s="2380"/>
      <c r="Q760" s="2380"/>
      <c r="R760" s="2353"/>
      <c r="S760" s="2348"/>
      <c r="T760" s="2367"/>
      <c r="U760" s="306"/>
      <c r="V760" s="7380"/>
      <c r="W760" s="7381"/>
      <c r="X760" s="7380"/>
      <c r="Y760" s="7381"/>
      <c r="Z760" s="7380"/>
      <c r="AA760" s="7380"/>
      <c r="AB760" s="7380"/>
      <c r="AC760" s="7380"/>
      <c r="AD760" s="2192"/>
      <c r="AE760" s="2332"/>
      <c r="AF760" s="2443"/>
      <c r="AG760" s="2369"/>
      <c r="AH760" s="2113"/>
      <c r="AI760" s="2332"/>
      <c r="AJ760" s="2443" t="s">
        <v>112</v>
      </c>
      <c r="AK760" s="2333"/>
      <c r="AL760" s="2113"/>
      <c r="AM760" s="2301"/>
      <c r="AN760" s="2443"/>
      <c r="AO760" s="3340" t="s">
        <v>28</v>
      </c>
      <c r="AP760" s="2365"/>
      <c r="AQ760" s="7382"/>
      <c r="AR760" s="7383"/>
      <c r="AS760" s="7587" t="s">
        <v>515</v>
      </c>
      <c r="AT760" s="7380"/>
      <c r="AU760" s="7381"/>
      <c r="AV760" s="7380"/>
      <c r="AW760" s="7381"/>
      <c r="AX760" s="7380"/>
      <c r="AY760" s="7380"/>
      <c r="AZ760" s="7380"/>
      <c r="BA760" s="7380"/>
      <c r="BB760" s="7385"/>
      <c r="BC760" s="2260"/>
      <c r="BD760" s="1648"/>
      <c r="BE760" s="1630"/>
      <c r="BF760" s="1630"/>
      <c r="BG760" s="1630"/>
      <c r="BH760" s="1630"/>
      <c r="BI760" s="1641">
        <v>0</v>
      </c>
    </row>
    <row customHeight="1" ht="14.25">
      <c r="A761" s="1369"/>
      <c r="B761" s="1369"/>
      <c r="C761" s="1369"/>
      <c r="D761" s="1369"/>
      <c r="E761" s="2265"/>
      <c r="F761" s="2265"/>
      <c r="G761" s="2265"/>
      <c r="H761" s="2265"/>
      <c r="I761" s="2292"/>
      <c r="J761" s="2292"/>
      <c r="K761" s="2262"/>
      <c r="L761" s="1375"/>
      <c r="M761" s="1782"/>
      <c r="N761" s="1782"/>
      <c r="O761" s="1782"/>
      <c r="P761" s="2380"/>
      <c r="Q761" s="2380"/>
      <c r="R761" s="2353"/>
      <c r="S761" s="2348"/>
      <c r="T761" s="2367"/>
      <c r="U761" s="306"/>
      <c r="V761" s="7380"/>
      <c r="W761" s="7381"/>
      <c r="X761" s="7380"/>
      <c r="Y761" s="7381"/>
      <c r="Z761" s="7380"/>
      <c r="AA761" s="7380"/>
      <c r="AB761" s="7380"/>
      <c r="AC761" s="7380"/>
      <c r="AD761" s="2192"/>
      <c r="AE761" s="2332"/>
      <c r="AF761" s="2443"/>
      <c r="AG761" s="2369"/>
      <c r="AH761" s="2113"/>
      <c r="AI761" s="2332"/>
      <c r="AJ761" s="2443" t="s">
        <v>112</v>
      </c>
      <c r="AK761" s="2333"/>
      <c r="AL761" s="2113"/>
      <c r="AM761" s="7382"/>
      <c r="AN761" s="7386"/>
      <c r="AO761" s="7588" t="s">
        <v>516</v>
      </c>
      <c r="AP761" s="7383"/>
      <c r="AQ761" s="7383"/>
      <c r="AR761" s="7383"/>
      <c r="AS761" s="7380"/>
      <c r="AT761" s="7380"/>
      <c r="AU761" s="7381"/>
      <c r="AV761" s="7380"/>
      <c r="AW761" s="7381"/>
      <c r="AX761" s="7380"/>
      <c r="AY761" s="7380"/>
      <c r="AZ761" s="7380"/>
      <c r="BA761" s="7380"/>
      <c r="BB761" s="7385"/>
      <c r="BC761" s="2260"/>
      <c r="BD761" s="1648"/>
      <c r="BE761" s="1630"/>
      <c r="BF761" s="1630"/>
      <c r="BG761" s="1630"/>
      <c r="BH761" s="1630"/>
      <c r="BI761" s="1641">
        <v>0</v>
      </c>
    </row>
    <row customHeight="1" ht="14.25">
      <c r="A762" s="1369"/>
      <c r="B762" s="1369"/>
      <c r="C762" s="1369"/>
      <c r="D762" s="1369"/>
      <c r="E762" s="2265"/>
      <c r="F762" s="2265"/>
      <c r="G762" s="2265"/>
      <c r="H762" s="2265"/>
      <c r="I762" s="2292"/>
      <c r="J762" s="2292"/>
      <c r="K762" s="2262" t="str">
        <f>S757&amp;".1"</f>
        <v>.1</v>
      </c>
      <c r="L762" s="1375"/>
      <c r="M762" s="1782"/>
      <c r="N762" s="1782"/>
      <c r="O762" s="1782"/>
      <c r="P762" s="2380"/>
      <c r="Q762" s="2380"/>
      <c r="R762" s="2353">
        <v>1</v>
      </c>
      <c r="S762" s="2347" t="str">
        <f>$K762</f>
        <v>.1</v>
      </c>
      <c r="T762" s="2366"/>
      <c r="U762" s="306"/>
      <c r="V762" s="757"/>
      <c r="W762" s="1263"/>
      <c r="X762" s="757"/>
      <c r="Y762" s="1263"/>
      <c r="Z762" s="2608"/>
      <c r="AA762" s="2113" t="s">
        <v>62</v>
      </c>
      <c r="AB762" s="2608"/>
      <c r="AC762" s="2113" t="s">
        <v>62</v>
      </c>
      <c r="AD762" s="2191" t="s">
        <v>62</v>
      </c>
      <c r="AE762" s="2332"/>
      <c r="AF762" s="2443">
        <v>1</v>
      </c>
      <c r="AG762" s="2369"/>
      <c r="AH762" s="2113" t="s">
        <v>62</v>
      </c>
      <c r="AI762" s="689" t="s">
        <v>253</v>
      </c>
      <c r="AJ762" s="2443" t="s">
        <v>92</v>
      </c>
      <c r="AK762" s="2333" t="s">
        <v>535</v>
      </c>
      <c r="AL762" s="2113" t="s">
        <v>19</v>
      </c>
      <c r="AM762" s="2300"/>
      <c r="AN762" s="2443">
        <v>1</v>
      </c>
      <c r="AO762" s="3340" t="s">
        <v>28</v>
      </c>
      <c r="AP762" s="2364" t="s">
        <v>62</v>
      </c>
      <c r="AQ762" s="317"/>
      <c r="AR762" s="2443">
        <v>1</v>
      </c>
      <c r="AS762" s="2582" t="s">
        <v>541</v>
      </c>
      <c r="AT762" s="757"/>
      <c r="AU762" s="1263"/>
      <c r="AV762" s="757"/>
      <c r="AW762" s="1263">
        <v>22978.05</v>
      </c>
      <c r="AX762" s="2608">
        <v>46023.38905092593</v>
      </c>
      <c r="AY762" s="2113" t="s">
        <v>62</v>
      </c>
      <c r="AZ762" s="2608">
        <v>46387.405706018515</v>
      </c>
      <c r="BA762" s="2113" t="s">
        <v>62</v>
      </c>
      <c r="BB762" s="1354"/>
      <c r="BC762" s="2259" t="s">
        <v>514</v>
      </c>
      <c r="BD762" s="1648"/>
      <c r="BE762" s="1630"/>
      <c r="BF762" s="1630" t="str">
        <f>IF(T762="","",T762)</f>
        <v/>
      </c>
      <c r="BG762" s="1630"/>
      <c r="BH762" s="1630"/>
      <c r="BI762" s="1641">
        <v>0</v>
      </c>
    </row>
    <row customHeight="1" ht="14.25">
      <c r="A763" s="1369"/>
      <c r="B763" s="1369"/>
      <c r="C763" s="1369"/>
      <c r="D763" s="1369"/>
      <c r="E763" s="2265"/>
      <c r="F763" s="2265"/>
      <c r="G763" s="2265"/>
      <c r="H763" s="2265"/>
      <c r="I763" s="2292"/>
      <c r="J763" s="2292"/>
      <c r="K763" s="2262" t="str">
        <f>S759&amp;".1"</f>
        <v>.1.1.1.1</v>
      </c>
      <c r="L763" s="1375"/>
      <c r="M763" s="1782"/>
      <c r="N763" s="1782"/>
      <c r="O763" s="1782"/>
      <c r="P763" s="2380"/>
      <c r="Q763" s="2380"/>
      <c r="R763" s="2353">
        <v>1</v>
      </c>
      <c r="S763" s="2347" t="str">
        <f>$K763</f>
        <v>.1.1.1.1</v>
      </c>
      <c r="T763" s="2366"/>
      <c r="U763" s="306"/>
      <c r="V763" s="757"/>
      <c r="W763" s="1263"/>
      <c r="X763" s="757"/>
      <c r="Y763" s="1263"/>
      <c r="Z763" s="2608"/>
      <c r="AA763" s="2113" t="s">
        <v>62</v>
      </c>
      <c r="AB763" s="2608"/>
      <c r="AC763" s="2113" t="s">
        <v>62</v>
      </c>
      <c r="AD763" s="2191" t="s">
        <v>62</v>
      </c>
      <c r="AE763" s="2332"/>
      <c r="AF763" s="2443">
        <v>1</v>
      </c>
      <c r="AG763" s="2369"/>
      <c r="AH763" s="2113" t="s">
        <v>62</v>
      </c>
      <c r="AI763" s="2332"/>
      <c r="AJ763" s="2443">
        <v>1</v>
      </c>
      <c r="AK763" s="2333" t="s">
        <v>28</v>
      </c>
      <c r="AL763" s="2113" t="s">
        <v>62</v>
      </c>
      <c r="AM763" s="2300"/>
      <c r="AN763" s="2443">
        <v>1</v>
      </c>
      <c r="AO763" s="3340" t="s">
        <v>28</v>
      </c>
      <c r="AP763" s="2364" t="s">
        <v>62</v>
      </c>
      <c r="AQ763" s="689" t="s">
        <v>253</v>
      </c>
      <c r="AR763" s="2443" t="s">
        <v>112</v>
      </c>
      <c r="AS763" s="2582" t="s">
        <v>541</v>
      </c>
      <c r="AT763" s="757"/>
      <c r="AU763" s="1263"/>
      <c r="AV763" s="757"/>
      <c r="AW763" s="1263">
        <v>25960.75</v>
      </c>
      <c r="AX763" s="2608">
        <v>46023.38909722222</v>
      </c>
      <c r="AY763" s="2113" t="s">
        <v>62</v>
      </c>
      <c r="AZ763" s="2608">
        <v>46387.405810185184</v>
      </c>
      <c r="BA763" s="2113" t="s">
        <v>62</v>
      </c>
      <c r="BB763" s="1354"/>
      <c r="BC763" s="2259" t="s">
        <v>514</v>
      </c>
      <c r="BD763" s="1648"/>
      <c r="BE763" s="1630"/>
      <c r="BF763" s="1630" t="str">
        <f>IF(T763="","",T763)</f>
        <v/>
      </c>
      <c r="BG763" s="1630"/>
      <c r="BH763" s="1630"/>
      <c r="BI763" s="1641">
        <v>0</v>
      </c>
    </row>
    <row customHeight="1" ht="14.25">
      <c r="A764" s="1369"/>
      <c r="B764" s="1369"/>
      <c r="C764" s="1369"/>
      <c r="D764" s="1369"/>
      <c r="E764" s="2265"/>
      <c r="F764" s="2265"/>
      <c r="G764" s="2265"/>
      <c r="H764" s="2265"/>
      <c r="I764" s="2292"/>
      <c r="J764" s="2292"/>
      <c r="K764" s="2262"/>
      <c r="L764" s="1375"/>
      <c r="M764" s="1782"/>
      <c r="N764" s="1782"/>
      <c r="O764" s="1782"/>
      <c r="P764" s="2380"/>
      <c r="Q764" s="2380"/>
      <c r="R764" s="2353"/>
      <c r="S764" s="2348"/>
      <c r="T764" s="2367"/>
      <c r="U764" s="306"/>
      <c r="V764" s="7380"/>
      <c r="W764" s="7381"/>
      <c r="X764" s="7380"/>
      <c r="Y764" s="7381"/>
      <c r="Z764" s="7380"/>
      <c r="AA764" s="7380"/>
      <c r="AB764" s="7380"/>
      <c r="AC764" s="7380"/>
      <c r="AD764" s="2192"/>
      <c r="AE764" s="2332"/>
      <c r="AF764" s="2443"/>
      <c r="AG764" s="2369"/>
      <c r="AH764" s="2113"/>
      <c r="AI764" s="2332"/>
      <c r="AJ764" s="2443" t="s">
        <v>91</v>
      </c>
      <c r="AK764" s="2333"/>
      <c r="AL764" s="2113"/>
      <c r="AM764" s="2301"/>
      <c r="AN764" s="2443"/>
      <c r="AO764" s="3340" t="s">
        <v>28</v>
      </c>
      <c r="AP764" s="2365"/>
      <c r="AQ764" s="7382"/>
      <c r="AR764" s="7383"/>
      <c r="AS764" s="7589" t="s">
        <v>515</v>
      </c>
      <c r="AT764" s="7380"/>
      <c r="AU764" s="7381"/>
      <c r="AV764" s="7380"/>
      <c r="AW764" s="7381"/>
      <c r="AX764" s="7380"/>
      <c r="AY764" s="7380"/>
      <c r="AZ764" s="7380"/>
      <c r="BA764" s="7380"/>
      <c r="BB764" s="7385"/>
      <c r="BC764" s="2260"/>
      <c r="BD764" s="1648"/>
      <c r="BE764" s="1630"/>
      <c r="BF764" s="1630"/>
      <c r="BG764" s="1630"/>
      <c r="BH764" s="1630"/>
      <c r="BI764" s="1641">
        <v>0</v>
      </c>
    </row>
    <row customHeight="1" ht="14.25">
      <c r="A765" s="1369"/>
      <c r="B765" s="1369"/>
      <c r="C765" s="1369"/>
      <c r="D765" s="1369"/>
      <c r="E765" s="2265"/>
      <c r="F765" s="2265"/>
      <c r="G765" s="2265"/>
      <c r="H765" s="2265"/>
      <c r="I765" s="2292"/>
      <c r="J765" s="2292"/>
      <c r="K765" s="2262"/>
      <c r="L765" s="1375"/>
      <c r="M765" s="1782"/>
      <c r="N765" s="1782"/>
      <c r="O765" s="1782"/>
      <c r="P765" s="2380"/>
      <c r="Q765" s="2380"/>
      <c r="R765" s="2353"/>
      <c r="S765" s="2348"/>
      <c r="T765" s="2367"/>
      <c r="U765" s="306"/>
      <c r="V765" s="7380"/>
      <c r="W765" s="7381"/>
      <c r="X765" s="7380"/>
      <c r="Y765" s="7381"/>
      <c r="Z765" s="7380"/>
      <c r="AA765" s="7380"/>
      <c r="AB765" s="7380"/>
      <c r="AC765" s="7380"/>
      <c r="AD765" s="2192"/>
      <c r="AE765" s="2332"/>
      <c r="AF765" s="2443"/>
      <c r="AG765" s="2369"/>
      <c r="AH765" s="2113"/>
      <c r="AI765" s="2332"/>
      <c r="AJ765" s="2443" t="s">
        <v>91</v>
      </c>
      <c r="AK765" s="2333"/>
      <c r="AL765" s="2113"/>
      <c r="AM765" s="7382"/>
      <c r="AN765" s="7386"/>
      <c r="AO765" s="7590" t="s">
        <v>516</v>
      </c>
      <c r="AP765" s="7383"/>
      <c r="AQ765" s="7383"/>
      <c r="AR765" s="7383"/>
      <c r="AS765" s="7380"/>
      <c r="AT765" s="7380"/>
      <c r="AU765" s="7381"/>
      <c r="AV765" s="7380"/>
      <c r="AW765" s="7381"/>
      <c r="AX765" s="7380"/>
      <c r="AY765" s="7380"/>
      <c r="AZ765" s="7380"/>
      <c r="BA765" s="7380"/>
      <c r="BB765" s="7385"/>
      <c r="BC765" s="2260"/>
      <c r="BD765" s="1648"/>
      <c r="BE765" s="1630"/>
      <c r="BF765" s="1630"/>
      <c r="BG765" s="1630"/>
      <c r="BH765" s="1630"/>
      <c r="BI765" s="1641">
        <v>0</v>
      </c>
    </row>
    <row customHeight="1" ht="14.25">
      <c r="A766" s="1369"/>
      <c r="B766" s="1369"/>
      <c r="C766" s="1369"/>
      <c r="D766" s="1369"/>
      <c r="E766" s="2265"/>
      <c r="F766" s="2265"/>
      <c r="G766" s="2265"/>
      <c r="H766" s="2265"/>
      <c r="I766" s="2292"/>
      <c r="J766" s="2292"/>
      <c r="K766" s="2262" t="str">
        <f>S761&amp;".1"</f>
        <v>.1</v>
      </c>
      <c r="L766" s="1375"/>
      <c r="M766" s="1782"/>
      <c r="N766" s="1782"/>
      <c r="O766" s="1782"/>
      <c r="P766" s="2380"/>
      <c r="Q766" s="2380"/>
      <c r="R766" s="2353">
        <v>1</v>
      </c>
      <c r="S766" s="2347" t="str">
        <f>$K766</f>
        <v>.1</v>
      </c>
      <c r="T766" s="2366"/>
      <c r="U766" s="306"/>
      <c r="V766" s="757"/>
      <c r="W766" s="1263"/>
      <c r="X766" s="757"/>
      <c r="Y766" s="1263"/>
      <c r="Z766" s="2608"/>
      <c r="AA766" s="2113" t="s">
        <v>62</v>
      </c>
      <c r="AB766" s="2608"/>
      <c r="AC766" s="2113" t="s">
        <v>62</v>
      </c>
      <c r="AD766" s="2191" t="s">
        <v>62</v>
      </c>
      <c r="AE766" s="2332"/>
      <c r="AF766" s="2443">
        <v>1</v>
      </c>
      <c r="AG766" s="2369"/>
      <c r="AH766" s="2113" t="s">
        <v>62</v>
      </c>
      <c r="AI766" s="689" t="s">
        <v>253</v>
      </c>
      <c r="AJ766" s="2443" t="s">
        <v>113</v>
      </c>
      <c r="AK766" s="2333" t="s">
        <v>536</v>
      </c>
      <c r="AL766" s="2113" t="s">
        <v>19</v>
      </c>
      <c r="AM766" s="2300"/>
      <c r="AN766" s="2443">
        <v>1</v>
      </c>
      <c r="AO766" s="3340" t="s">
        <v>28</v>
      </c>
      <c r="AP766" s="2364" t="s">
        <v>62</v>
      </c>
      <c r="AQ766" s="317"/>
      <c r="AR766" s="2443">
        <v>1</v>
      </c>
      <c r="AS766" s="2582" t="s">
        <v>541</v>
      </c>
      <c r="AT766" s="757"/>
      <c r="AU766" s="1263"/>
      <c r="AV766" s="757"/>
      <c r="AW766" s="1263">
        <v>31641.97</v>
      </c>
      <c r="AX766" s="2608">
        <v>46023.38912037037</v>
      </c>
      <c r="AY766" s="2113" t="s">
        <v>62</v>
      </c>
      <c r="AZ766" s="2608">
        <v>46387.40597222222</v>
      </c>
      <c r="BA766" s="2113" t="s">
        <v>62</v>
      </c>
      <c r="BB766" s="1354"/>
      <c r="BC766" s="2259" t="s">
        <v>514</v>
      </c>
      <c r="BD766" s="1648"/>
      <c r="BE766" s="1630"/>
      <c r="BF766" s="1630" t="str">
        <f>IF(T766="","",T766)</f>
        <v/>
      </c>
      <c r="BG766" s="1630"/>
      <c r="BH766" s="1630"/>
      <c r="BI766" s="1641">
        <v>0</v>
      </c>
    </row>
    <row customHeight="1" ht="14.25">
      <c r="A767" s="1369"/>
      <c r="B767" s="1369"/>
      <c r="C767" s="1369"/>
      <c r="D767" s="1369"/>
      <c r="E767" s="2265"/>
      <c r="F767" s="2265"/>
      <c r="G767" s="2265"/>
      <c r="H767" s="2265"/>
      <c r="I767" s="2292"/>
      <c r="J767" s="2292"/>
      <c r="K767" s="2262"/>
      <c r="L767" s="1375"/>
      <c r="M767" s="1782"/>
      <c r="N767" s="1782"/>
      <c r="O767" s="1782"/>
      <c r="P767" s="2380"/>
      <c r="Q767" s="2380"/>
      <c r="R767" s="2353"/>
      <c r="S767" s="2348"/>
      <c r="T767" s="2367"/>
      <c r="U767" s="306"/>
      <c r="V767" s="7380"/>
      <c r="W767" s="7381"/>
      <c r="X767" s="7380"/>
      <c r="Y767" s="7381"/>
      <c r="Z767" s="7380"/>
      <c r="AA767" s="7380"/>
      <c r="AB767" s="7380"/>
      <c r="AC767" s="7380"/>
      <c r="AD767" s="2192"/>
      <c r="AE767" s="2332"/>
      <c r="AF767" s="2443"/>
      <c r="AG767" s="2369"/>
      <c r="AH767" s="2113"/>
      <c r="AI767" s="2332"/>
      <c r="AJ767" s="2443" t="s">
        <v>92</v>
      </c>
      <c r="AK767" s="2333"/>
      <c r="AL767" s="2113"/>
      <c r="AM767" s="2301"/>
      <c r="AN767" s="2443"/>
      <c r="AO767" s="3340" t="s">
        <v>28</v>
      </c>
      <c r="AP767" s="2365"/>
      <c r="AQ767" s="7382"/>
      <c r="AR767" s="7383"/>
      <c r="AS767" s="7591" t="s">
        <v>515</v>
      </c>
      <c r="AT767" s="7380"/>
      <c r="AU767" s="7381"/>
      <c r="AV767" s="7380"/>
      <c r="AW767" s="7381"/>
      <c r="AX767" s="7380"/>
      <c r="AY767" s="7380"/>
      <c r="AZ767" s="7380"/>
      <c r="BA767" s="7380"/>
      <c r="BB767" s="7385"/>
      <c r="BC767" s="2260"/>
      <c r="BD767" s="1648"/>
      <c r="BE767" s="1630"/>
      <c r="BF767" s="1630"/>
      <c r="BG767" s="1630"/>
      <c r="BH767" s="1630"/>
      <c r="BI767" s="1641">
        <v>0</v>
      </c>
    </row>
    <row customHeight="1" ht="14.25">
      <c r="A768" s="1369"/>
      <c r="B768" s="1369"/>
      <c r="C768" s="1369"/>
      <c r="D768" s="1369"/>
      <c r="E768" s="2265"/>
      <c r="F768" s="2265"/>
      <c r="G768" s="2265"/>
      <c r="H768" s="2265"/>
      <c r="I768" s="2292"/>
      <c r="J768" s="2292"/>
      <c r="K768" s="2262"/>
      <c r="L768" s="1375"/>
      <c r="M768" s="1782"/>
      <c r="N768" s="1782"/>
      <c r="O768" s="1782"/>
      <c r="P768" s="2380"/>
      <c r="Q768" s="2380"/>
      <c r="R768" s="2353"/>
      <c r="S768" s="2348"/>
      <c r="T768" s="2367"/>
      <c r="U768" s="306"/>
      <c r="V768" s="7380"/>
      <c r="W768" s="7381"/>
      <c r="X768" s="7380"/>
      <c r="Y768" s="7381"/>
      <c r="Z768" s="7380"/>
      <c r="AA768" s="7380"/>
      <c r="AB768" s="7380"/>
      <c r="AC768" s="7380"/>
      <c r="AD768" s="2192"/>
      <c r="AE768" s="2332"/>
      <c r="AF768" s="2443"/>
      <c r="AG768" s="2369"/>
      <c r="AH768" s="2113"/>
      <c r="AI768" s="2332"/>
      <c r="AJ768" s="2443" t="s">
        <v>92</v>
      </c>
      <c r="AK768" s="2333"/>
      <c r="AL768" s="2113"/>
      <c r="AM768" s="7382"/>
      <c r="AN768" s="7386"/>
      <c r="AO768" s="7592" t="s">
        <v>516</v>
      </c>
      <c r="AP768" s="7383"/>
      <c r="AQ768" s="7383"/>
      <c r="AR768" s="7383"/>
      <c r="AS768" s="7380"/>
      <c r="AT768" s="7380"/>
      <c r="AU768" s="7381"/>
      <c r="AV768" s="7380"/>
      <c r="AW768" s="7381"/>
      <c r="AX768" s="7380"/>
      <c r="AY768" s="7380"/>
      <c r="AZ768" s="7380"/>
      <c r="BA768" s="7380"/>
      <c r="BB768" s="7385"/>
      <c r="BC768" s="2260"/>
      <c r="BD768" s="1648"/>
      <c r="BE768" s="1630"/>
      <c r="BF768" s="1630"/>
      <c r="BG768" s="1630"/>
      <c r="BH768" s="1630"/>
      <c r="BI768" s="1641">
        <v>0</v>
      </c>
    </row>
    <row customHeight="1" ht="14.25">
      <c r="A769" s="1369"/>
      <c r="B769" s="1369"/>
      <c r="C769" s="1369"/>
      <c r="D769" s="1369"/>
      <c r="E769" s="2265"/>
      <c r="F769" s="2265"/>
      <c r="G769" s="2265"/>
      <c r="H769" s="2265"/>
      <c r="I769" s="2292"/>
      <c r="J769" s="2292"/>
      <c r="K769" s="2262" t="str">
        <f>S765&amp;".1"</f>
        <v>.1</v>
      </c>
      <c r="L769" s="1375"/>
      <c r="M769" s="1782"/>
      <c r="N769" s="1782"/>
      <c r="O769" s="1782"/>
      <c r="P769" s="2380"/>
      <c r="Q769" s="2380"/>
      <c r="R769" s="2353">
        <v>1</v>
      </c>
      <c r="S769" s="2347" t="str">
        <f>$K769</f>
        <v>.1</v>
      </c>
      <c r="T769" s="2366"/>
      <c r="U769" s="306"/>
      <c r="V769" s="757"/>
      <c r="W769" s="1263"/>
      <c r="X769" s="757"/>
      <c r="Y769" s="1263"/>
      <c r="Z769" s="2608"/>
      <c r="AA769" s="2113" t="s">
        <v>62</v>
      </c>
      <c r="AB769" s="2608"/>
      <c r="AC769" s="2113" t="s">
        <v>62</v>
      </c>
      <c r="AD769" s="2191" t="s">
        <v>62</v>
      </c>
      <c r="AE769" s="2332"/>
      <c r="AF769" s="2443">
        <v>1</v>
      </c>
      <c r="AG769" s="2369"/>
      <c r="AH769" s="2113" t="s">
        <v>62</v>
      </c>
      <c r="AI769" s="689" t="s">
        <v>253</v>
      </c>
      <c r="AJ769" s="2443" t="s">
        <v>93</v>
      </c>
      <c r="AK769" s="2333" t="s">
        <v>537</v>
      </c>
      <c r="AL769" s="2113" t="s">
        <v>19</v>
      </c>
      <c r="AM769" s="2300"/>
      <c r="AN769" s="2443">
        <v>1</v>
      </c>
      <c r="AO769" s="3340" t="s">
        <v>28</v>
      </c>
      <c r="AP769" s="2364" t="s">
        <v>62</v>
      </c>
      <c r="AQ769" s="317"/>
      <c r="AR769" s="2443">
        <v>1</v>
      </c>
      <c r="AS769" s="2582" t="s">
        <v>541</v>
      </c>
      <c r="AT769" s="757"/>
      <c r="AU769" s="1263"/>
      <c r="AV769" s="757"/>
      <c r="AW769" s="1263">
        <v>37329.22</v>
      </c>
      <c r="AX769" s="2608">
        <v>46023.38915509259</v>
      </c>
      <c r="AY769" s="2113" t="s">
        <v>62</v>
      </c>
      <c r="AZ769" s="2608">
        <v>46387.40604166667</v>
      </c>
      <c r="BA769" s="2113" t="s">
        <v>62</v>
      </c>
      <c r="BB769" s="1354"/>
      <c r="BC769" s="2259" t="s">
        <v>514</v>
      </c>
      <c r="BD769" s="1648"/>
      <c r="BE769" s="1630"/>
      <c r="BF769" s="1630" t="str">
        <f>IF(T769="","",T769)</f>
        <v/>
      </c>
      <c r="BG769" s="1630"/>
      <c r="BH769" s="1630"/>
      <c r="BI769" s="1641">
        <v>0</v>
      </c>
    </row>
    <row customHeight="1" ht="14.25">
      <c r="A770" s="1369"/>
      <c r="B770" s="1369"/>
      <c r="C770" s="1369"/>
      <c r="D770" s="1369"/>
      <c r="E770" s="2265"/>
      <c r="F770" s="2265"/>
      <c r="G770" s="2265"/>
      <c r="H770" s="2265"/>
      <c r="I770" s="2292"/>
      <c r="J770" s="2292"/>
      <c r="K770" s="2262"/>
      <c r="L770" s="1375"/>
      <c r="M770" s="1782"/>
      <c r="N770" s="1782"/>
      <c r="O770" s="1782"/>
      <c r="P770" s="2380"/>
      <c r="Q770" s="2380"/>
      <c r="R770" s="2353"/>
      <c r="S770" s="2348"/>
      <c r="T770" s="2367"/>
      <c r="U770" s="306"/>
      <c r="V770" s="7380"/>
      <c r="W770" s="7381"/>
      <c r="X770" s="7380"/>
      <c r="Y770" s="7381"/>
      <c r="Z770" s="7380"/>
      <c r="AA770" s="7380"/>
      <c r="AB770" s="7380"/>
      <c r="AC770" s="7380"/>
      <c r="AD770" s="2192"/>
      <c r="AE770" s="2332"/>
      <c r="AF770" s="2443"/>
      <c r="AG770" s="2369"/>
      <c r="AH770" s="2113"/>
      <c r="AI770" s="2332"/>
      <c r="AJ770" s="2443" t="s">
        <v>113</v>
      </c>
      <c r="AK770" s="2333"/>
      <c r="AL770" s="2113"/>
      <c r="AM770" s="2301"/>
      <c r="AN770" s="2443"/>
      <c r="AO770" s="3340" t="s">
        <v>28</v>
      </c>
      <c r="AP770" s="2365"/>
      <c r="AQ770" s="7382"/>
      <c r="AR770" s="7383"/>
      <c r="AS770" s="7593" t="s">
        <v>515</v>
      </c>
      <c r="AT770" s="7380"/>
      <c r="AU770" s="7381"/>
      <c r="AV770" s="7380"/>
      <c r="AW770" s="7381"/>
      <c r="AX770" s="7380"/>
      <c r="AY770" s="7380"/>
      <c r="AZ770" s="7380"/>
      <c r="BA770" s="7380"/>
      <c r="BB770" s="7385"/>
      <c r="BC770" s="2260"/>
      <c r="BD770" s="1648"/>
      <c r="BE770" s="1630"/>
      <c r="BF770" s="1630"/>
      <c r="BG770" s="1630"/>
      <c r="BH770" s="1630"/>
      <c r="BI770" s="1641">
        <v>0</v>
      </c>
    </row>
    <row customHeight="1" ht="14.25">
      <c r="A771" s="1369"/>
      <c r="B771" s="1369"/>
      <c r="C771" s="1369"/>
      <c r="D771" s="1369"/>
      <c r="E771" s="2265"/>
      <c r="F771" s="2265"/>
      <c r="G771" s="2265"/>
      <c r="H771" s="2265"/>
      <c r="I771" s="2292"/>
      <c r="J771" s="2292"/>
      <c r="K771" s="2262"/>
      <c r="L771" s="1375"/>
      <c r="M771" s="1782"/>
      <c r="N771" s="1782"/>
      <c r="O771" s="1782"/>
      <c r="P771" s="2380"/>
      <c r="Q771" s="2380"/>
      <c r="R771" s="2353"/>
      <c r="S771" s="2348"/>
      <c r="T771" s="2367"/>
      <c r="U771" s="306"/>
      <c r="V771" s="7380"/>
      <c r="W771" s="7381"/>
      <c r="X771" s="7380"/>
      <c r="Y771" s="7381"/>
      <c r="Z771" s="7380"/>
      <c r="AA771" s="7380"/>
      <c r="AB771" s="7380"/>
      <c r="AC771" s="7380"/>
      <c r="AD771" s="2192"/>
      <c r="AE771" s="2332"/>
      <c r="AF771" s="2443"/>
      <c r="AG771" s="2369"/>
      <c r="AH771" s="2113"/>
      <c r="AI771" s="2332"/>
      <c r="AJ771" s="2443" t="s">
        <v>113</v>
      </c>
      <c r="AK771" s="2333"/>
      <c r="AL771" s="2113"/>
      <c r="AM771" s="7382"/>
      <c r="AN771" s="7386"/>
      <c r="AO771" s="7594" t="s">
        <v>516</v>
      </c>
      <c r="AP771" s="7383"/>
      <c r="AQ771" s="7383"/>
      <c r="AR771" s="7383"/>
      <c r="AS771" s="7380"/>
      <c r="AT771" s="7380"/>
      <c r="AU771" s="7381"/>
      <c r="AV771" s="7380"/>
      <c r="AW771" s="7381"/>
      <c r="AX771" s="7380"/>
      <c r="AY771" s="7380"/>
      <c r="AZ771" s="7380"/>
      <c r="BA771" s="7380"/>
      <c r="BB771" s="7385"/>
      <c r="BC771" s="2260"/>
      <c r="BD771" s="1648"/>
      <c r="BE771" s="1630"/>
      <c r="BF771" s="1630"/>
      <c r="BG771" s="1630"/>
      <c r="BH771" s="1630"/>
      <c r="BI771" s="1641">
        <v>0</v>
      </c>
    </row>
    <row customHeight="1" ht="14.25">
      <c r="A772" s="1369"/>
      <c r="B772" s="1369"/>
      <c r="C772" s="1369"/>
      <c r="D772" s="1369"/>
      <c r="E772" s="2265"/>
      <c r="F772" s="2265"/>
      <c r="G772" s="2265"/>
      <c r="H772" s="2265"/>
      <c r="I772" s="2292"/>
      <c r="J772" s="2292"/>
      <c r="K772" s="2262" t="str">
        <f>S450&amp;".11"</f>
        <v>3.1.1.11</v>
      </c>
      <c r="L772" s="1375"/>
      <c r="M772" s="1782"/>
      <c r="N772" s="1782"/>
      <c r="O772" s="1782"/>
      <c r="P772" s="2380"/>
      <c r="Q772" s="2380"/>
      <c r="R772" s="2353"/>
      <c r="S772" s="2348"/>
      <c r="T772" s="2367"/>
      <c r="U772" s="306"/>
      <c r="V772" s="7380"/>
      <c r="W772" s="7381"/>
      <c r="X772" s="7380"/>
      <c r="Y772" s="7381"/>
      <c r="Z772" s="7380"/>
      <c r="AA772" s="7380"/>
      <c r="AB772" s="7380"/>
      <c r="AC772" s="7380"/>
      <c r="AD772" s="2192"/>
      <c r="AE772" s="2332"/>
      <c r="AF772" s="2443"/>
      <c r="AG772" s="3339" t="s">
        <v>28</v>
      </c>
      <c r="AH772" s="2113"/>
      <c r="AI772" s="7408"/>
      <c r="AJ772" s="7409"/>
      <c r="AK772" s="7595" t="s">
        <v>517</v>
      </c>
      <c r="AL772" s="7380"/>
      <c r="AM772" s="7380"/>
      <c r="AN772" s="7380"/>
      <c r="AO772" s="7380"/>
      <c r="AP772" s="7380"/>
      <c r="AQ772" s="7380"/>
      <c r="AR772" s="7380"/>
      <c r="AS772" s="7380"/>
      <c r="AT772" s="7380"/>
      <c r="AU772" s="7381"/>
      <c r="AV772" s="7380"/>
      <c r="AW772" s="7381"/>
      <c r="AX772" s="7380"/>
      <c r="AY772" s="7380"/>
      <c r="AZ772" s="7380"/>
      <c r="BA772" s="7380"/>
      <c r="BB772" s="7385"/>
      <c r="BC772" s="2260"/>
      <c r="BD772" s="1648"/>
      <c r="BE772" s="1630"/>
      <c r="BF772" s="1630"/>
      <c r="BG772" s="1630"/>
      <c r="BH772" s="1630"/>
      <c r="BI772" s="1641">
        <v>0</v>
      </c>
    </row>
    <row customHeight="1" ht="14.25">
      <c r="A773" s="1369"/>
      <c r="B773" s="1369"/>
      <c r="C773" s="1369"/>
      <c r="D773" s="1369"/>
      <c r="E773" s="2265"/>
      <c r="F773" s="2265"/>
      <c r="G773" s="2265"/>
      <c r="H773" s="2265"/>
      <c r="I773" s="2292"/>
      <c r="J773" s="2292"/>
      <c r="K773" s="2262" t="str">
        <f>S450&amp;".11"</f>
        <v>3.1.1.11</v>
      </c>
      <c r="L773" s="1375"/>
      <c r="M773" s="1782"/>
      <c r="N773" s="1782"/>
      <c r="O773" s="1782"/>
      <c r="P773" s="2380"/>
      <c r="Q773" s="2380"/>
      <c r="R773" s="2353"/>
      <c r="S773" s="2349"/>
      <c r="T773" s="2368"/>
      <c r="U773" s="306"/>
      <c r="V773" s="7380"/>
      <c r="W773" s="7596" t="str">
        <f>Z750&amp;"-"&amp;AB750</f>
        <v>-</v>
      </c>
      <c r="X773" s="7380"/>
      <c r="Y773" s="7597" t="str">
        <f>AB750&amp;"-"&amp;AD750</f>
        <v>-нет</v>
      </c>
      <c r="Z773" s="7380"/>
      <c r="AA773" s="7380"/>
      <c r="AB773" s="7380"/>
      <c r="AC773" s="7380"/>
      <c r="AD773" s="2118"/>
      <c r="AE773" s="7413"/>
      <c r="AF773" s="7414"/>
      <c r="AG773" s="7598" t="s">
        <v>518</v>
      </c>
      <c r="AH773" s="7380"/>
      <c r="AI773" s="7380"/>
      <c r="AJ773" s="7380"/>
      <c r="AK773" s="7380"/>
      <c r="AL773" s="7380"/>
      <c r="AM773" s="7380"/>
      <c r="AN773" s="7380"/>
      <c r="AO773" s="7380"/>
      <c r="AP773" s="7380"/>
      <c r="AQ773" s="7380"/>
      <c r="AR773" s="7380"/>
      <c r="AS773" s="7380"/>
      <c r="AT773" s="7380"/>
      <c r="AU773" s="7599" t="str">
        <f>AX750&amp;"-"&amp;AZ750</f>
        <v>46023.38872685185-46387.40526620371</v>
      </c>
      <c r="AV773" s="7380"/>
      <c r="AW773" s="7600" t="str">
        <f>AZ750&amp;"-"&amp;BB750</f>
        <v>46387.40526620371-</v>
      </c>
      <c r="AX773" s="7380"/>
      <c r="AY773" s="7380"/>
      <c r="AZ773" s="7380"/>
      <c r="BA773" s="7380"/>
      <c r="BB773" s="7601" t="str">
        <f>BE750&amp;"-"&amp;BG750</f>
        <v>-</v>
      </c>
      <c r="BC773" s="2260"/>
      <c r="BD773" s="1648"/>
      <c r="BE773" s="1630"/>
      <c r="BF773" s="1630" t="str">
        <f>IF(T773="","",T773)</f>
        <v/>
      </c>
      <c r="BG773" s="1630"/>
      <c r="BH773" s="1630"/>
      <c r="BI773" s="1641">
        <v>0</v>
      </c>
    </row>
    <row customHeight="1" ht="14.25">
      <c r="A774" s="1369"/>
      <c r="B774" s="1369"/>
      <c r="C774" s="1369"/>
      <c r="D774" s="1369"/>
      <c r="E774" s="2265"/>
      <c r="F774" s="2265"/>
      <c r="G774" s="2265"/>
      <c r="H774" s="2265"/>
      <c r="I774" s="2292"/>
      <c r="J774" s="2292"/>
      <c r="K774" s="2262" t="str">
        <f>S450&amp;".13"</f>
        <v>3.1.1.13</v>
      </c>
      <c r="L774" s="1375"/>
      <c r="M774" s="1782"/>
      <c r="N774" s="1782"/>
      <c r="O774" s="1782"/>
      <c r="P774" s="2380"/>
      <c r="Q774" s="2380"/>
      <c r="R774" s="689" t="s">
        <v>253</v>
      </c>
      <c r="S774" s="2347" t="str">
        <f>$K774</f>
        <v>3.1.1.13</v>
      </c>
      <c r="T774" s="2366" t="s">
        <v>550</v>
      </c>
      <c r="U774" s="306"/>
      <c r="V774" s="757"/>
      <c r="W774" s="1263"/>
      <c r="X774" s="757"/>
      <c r="Y774" s="1263"/>
      <c r="Z774" s="2608"/>
      <c r="AA774" s="2113" t="s">
        <v>62</v>
      </c>
      <c r="AB774" s="2608"/>
      <c r="AC774" s="2113" t="s">
        <v>62</v>
      </c>
      <c r="AD774" s="2191" t="s">
        <v>19</v>
      </c>
      <c r="AE774" s="2332"/>
      <c r="AF774" s="2443">
        <v>1</v>
      </c>
      <c r="AG774" s="3339" t="s">
        <v>28</v>
      </c>
      <c r="AH774" s="2113" t="s">
        <v>62</v>
      </c>
      <c r="AI774" s="2332"/>
      <c r="AJ774" s="2443">
        <v>1</v>
      </c>
      <c r="AK774" s="2333" t="s">
        <v>532</v>
      </c>
      <c r="AL774" s="2113" t="s">
        <v>19</v>
      </c>
      <c r="AM774" s="2300"/>
      <c r="AN774" s="2443">
        <v>1</v>
      </c>
      <c r="AO774" s="3340" t="s">
        <v>28</v>
      </c>
      <c r="AP774" s="2364" t="s">
        <v>62</v>
      </c>
      <c r="AQ774" s="317"/>
      <c r="AR774" s="2443">
        <v>1</v>
      </c>
      <c r="AS774" s="2582" t="s">
        <v>541</v>
      </c>
      <c r="AT774" s="757"/>
      <c r="AU774" s="1263"/>
      <c r="AV774" s="757"/>
      <c r="AW774" s="1263">
        <v>7587.86</v>
      </c>
      <c r="AX774" s="2608">
        <v>46023.38920138889</v>
      </c>
      <c r="AY774" s="2113" t="s">
        <v>62</v>
      </c>
      <c r="AZ774" s="2608">
        <v>46387.40613425926</v>
      </c>
      <c r="BA774" s="2113" t="s">
        <v>62</v>
      </c>
      <c r="BB774" s="1354"/>
      <c r="BC774" s="2259" t="s">
        <v>514</v>
      </c>
      <c r="BD774" s="1648"/>
      <c r="BE774" s="1630"/>
      <c r="BF774" s="1630" t="str">
        <f>IF(T774="","",T774)</f>
        <v>Надземная прокладка трубопроводов водоснабжения с изоляцией минераловатными плитами и сталью тонколистовой, на низких опорах, диаметр труб: </v>
      </c>
      <c r="BG774" s="1630"/>
      <c r="BH774" s="1630"/>
      <c r="BI774" s="1641">
        <v>0</v>
      </c>
    </row>
    <row customHeight="1" ht="14.25">
      <c r="A775" s="1369"/>
      <c r="B775" s="1369"/>
      <c r="C775" s="1369"/>
      <c r="D775" s="1369"/>
      <c r="E775" s="2265"/>
      <c r="F775" s="2265"/>
      <c r="G775" s="2265"/>
      <c r="H775" s="2265"/>
      <c r="I775" s="2292"/>
      <c r="J775" s="2292"/>
      <c r="K775" s="2262" t="str">
        <f>S771&amp;".1"</f>
        <v>.1</v>
      </c>
      <c r="L775" s="1375"/>
      <c r="M775" s="1782"/>
      <c r="N775" s="1782"/>
      <c r="O775" s="1782"/>
      <c r="P775" s="2380"/>
      <c r="Q775" s="2380"/>
      <c r="R775" s="2353">
        <v>1</v>
      </c>
      <c r="S775" s="2347" t="str">
        <f>$K775</f>
        <v>.1</v>
      </c>
      <c r="T775" s="2366"/>
      <c r="U775" s="306"/>
      <c r="V775" s="757"/>
      <c r="W775" s="1263"/>
      <c r="X775" s="757"/>
      <c r="Y775" s="1263"/>
      <c r="Z775" s="2608"/>
      <c r="AA775" s="2113" t="s">
        <v>62</v>
      </c>
      <c r="AB775" s="2608"/>
      <c r="AC775" s="2113" t="s">
        <v>62</v>
      </c>
      <c r="AD775" s="2191" t="s">
        <v>62</v>
      </c>
      <c r="AE775" s="2332"/>
      <c r="AF775" s="2443">
        <v>1</v>
      </c>
      <c r="AG775" s="2369"/>
      <c r="AH775" s="2113" t="s">
        <v>62</v>
      </c>
      <c r="AI775" s="2332"/>
      <c r="AJ775" s="2443">
        <v>1</v>
      </c>
      <c r="AK775" s="2333" t="s">
        <v>28</v>
      </c>
      <c r="AL775" s="2113" t="s">
        <v>62</v>
      </c>
      <c r="AM775" s="2300"/>
      <c r="AN775" s="2443">
        <v>1</v>
      </c>
      <c r="AO775" s="2363"/>
      <c r="AP775" s="2364" t="s">
        <v>62</v>
      </c>
      <c r="AQ775" s="689" t="s">
        <v>253</v>
      </c>
      <c r="AR775" s="2443" t="s">
        <v>112</v>
      </c>
      <c r="AS775" s="2582" t="s">
        <v>541</v>
      </c>
      <c r="AT775" s="757"/>
      <c r="AU775" s="1263"/>
      <c r="AV775" s="757"/>
      <c r="AW775" s="1263">
        <v>9610.73</v>
      </c>
      <c r="AX775" s="2608">
        <v>46023.38922453704</v>
      </c>
      <c r="AY775" s="2113" t="s">
        <v>62</v>
      </c>
      <c r="AZ775" s="2608">
        <v>46387.40949074074</v>
      </c>
      <c r="BA775" s="2113" t="s">
        <v>62</v>
      </c>
      <c r="BB775" s="1354"/>
      <c r="BC775" s="2259" t="s">
        <v>514</v>
      </c>
      <c r="BD775" s="1648"/>
      <c r="BE775" s="1630"/>
      <c r="BF775" s="1630" t="str">
        <f>IF(T775="","",T775)</f>
        <v/>
      </c>
      <c r="BG775" s="1630"/>
      <c r="BH775" s="1630"/>
      <c r="BI775" s="1641">
        <v>0</v>
      </c>
    </row>
    <row customHeight="1" ht="14.25">
      <c r="A776" s="1369"/>
      <c r="B776" s="1369"/>
      <c r="C776" s="1369"/>
      <c r="D776" s="1369"/>
      <c r="E776" s="2265"/>
      <c r="F776" s="2265"/>
      <c r="G776" s="2265"/>
      <c r="H776" s="2265"/>
      <c r="I776" s="2292"/>
      <c r="J776" s="2292"/>
      <c r="K776" s="2262" t="str">
        <f>S450&amp;".12"</f>
        <v>3.1.1.12</v>
      </c>
      <c r="L776" s="1375"/>
      <c r="M776" s="1782"/>
      <c r="N776" s="1782"/>
      <c r="O776" s="1782"/>
      <c r="P776" s="2380"/>
      <c r="Q776" s="2380"/>
      <c r="R776" s="2353"/>
      <c r="S776" s="2348"/>
      <c r="T776" s="2367"/>
      <c r="U776" s="306"/>
      <c r="V776" s="7380"/>
      <c r="W776" s="7381"/>
      <c r="X776" s="7380"/>
      <c r="Y776" s="7381"/>
      <c r="Z776" s="7380"/>
      <c r="AA776" s="7380"/>
      <c r="AB776" s="7380"/>
      <c r="AC776" s="7380"/>
      <c r="AD776" s="2192"/>
      <c r="AE776" s="2332"/>
      <c r="AF776" s="2443"/>
      <c r="AG776" s="3339" t="s">
        <v>28</v>
      </c>
      <c r="AH776" s="2113"/>
      <c r="AI776" s="2332"/>
      <c r="AJ776" s="2443"/>
      <c r="AK776" s="2333"/>
      <c r="AL776" s="2113"/>
      <c r="AM776" s="2301"/>
      <c r="AN776" s="2443"/>
      <c r="AO776" s="3340" t="s">
        <v>28</v>
      </c>
      <c r="AP776" s="2365"/>
      <c r="AQ776" s="7382"/>
      <c r="AR776" s="7383"/>
      <c r="AS776" s="7602" t="s">
        <v>515</v>
      </c>
      <c r="AT776" s="7380"/>
      <c r="AU776" s="7381"/>
      <c r="AV776" s="7380"/>
      <c r="AW776" s="7381"/>
      <c r="AX776" s="7380"/>
      <c r="AY776" s="7380"/>
      <c r="AZ776" s="7380"/>
      <c r="BA776" s="7380"/>
      <c r="BB776" s="7385"/>
      <c r="BC776" s="2260"/>
      <c r="BD776" s="1648"/>
      <c r="BE776" s="1630"/>
      <c r="BF776" s="1630"/>
      <c r="BG776" s="1630"/>
      <c r="BH776" s="1630"/>
      <c r="BI776" s="1641">
        <v>0</v>
      </c>
    </row>
    <row customHeight="1" ht="14.25">
      <c r="A777" s="1369"/>
      <c r="B777" s="1369"/>
      <c r="C777" s="1369"/>
      <c r="D777" s="1369"/>
      <c r="E777" s="2265"/>
      <c r="F777" s="2265"/>
      <c r="G777" s="2265"/>
      <c r="H777" s="2265"/>
      <c r="I777" s="2292"/>
      <c r="J777" s="2292"/>
      <c r="K777" s="2262" t="str">
        <f>S450&amp;".12"</f>
        <v>3.1.1.12</v>
      </c>
      <c r="L777" s="1375"/>
      <c r="M777" s="1782"/>
      <c r="N777" s="1782"/>
      <c r="O777" s="1782"/>
      <c r="P777" s="2380"/>
      <c r="Q777" s="2380"/>
      <c r="R777" s="2353"/>
      <c r="S777" s="2348"/>
      <c r="T777" s="2367"/>
      <c r="U777" s="306"/>
      <c r="V777" s="7380"/>
      <c r="W777" s="7381"/>
      <c r="X777" s="7380"/>
      <c r="Y777" s="7381"/>
      <c r="Z777" s="7380"/>
      <c r="AA777" s="7380"/>
      <c r="AB777" s="7380"/>
      <c r="AC777" s="7380"/>
      <c r="AD777" s="2192"/>
      <c r="AE777" s="2332"/>
      <c r="AF777" s="2443"/>
      <c r="AG777" s="3339" t="s">
        <v>28</v>
      </c>
      <c r="AH777" s="2113"/>
      <c r="AI777" s="2332"/>
      <c r="AJ777" s="2443"/>
      <c r="AK777" s="2333"/>
      <c r="AL777" s="2113"/>
      <c r="AM777" s="7382"/>
      <c r="AN777" s="7386"/>
      <c r="AO777" s="7603" t="s">
        <v>516</v>
      </c>
      <c r="AP777" s="7383"/>
      <c r="AQ777" s="7383"/>
      <c r="AR777" s="7383"/>
      <c r="AS777" s="7380"/>
      <c r="AT777" s="7380"/>
      <c r="AU777" s="7381"/>
      <c r="AV777" s="7380"/>
      <c r="AW777" s="7381"/>
      <c r="AX777" s="7380"/>
      <c r="AY777" s="7380"/>
      <c r="AZ777" s="7380"/>
      <c r="BA777" s="7380"/>
      <c r="BB777" s="7385"/>
      <c r="BC777" s="2260"/>
      <c r="BD777" s="1648"/>
      <c r="BE777" s="1630"/>
      <c r="BF777" s="1630"/>
      <c r="BG777" s="1630"/>
      <c r="BH777" s="1630"/>
      <c r="BI777" s="1641">
        <v>0</v>
      </c>
    </row>
    <row customHeight="1" ht="14.25">
      <c r="A778" s="1369"/>
      <c r="B778" s="1369"/>
      <c r="C778" s="1369"/>
      <c r="D778" s="1369"/>
      <c r="E778" s="2265"/>
      <c r="F778" s="2265"/>
      <c r="G778" s="2265"/>
      <c r="H778" s="2265"/>
      <c r="I778" s="2292"/>
      <c r="J778" s="2292"/>
      <c r="K778" s="2262" t="str">
        <f>S773&amp;".1"</f>
        <v>.1</v>
      </c>
      <c r="L778" s="1375"/>
      <c r="M778" s="1782"/>
      <c r="N778" s="1782"/>
      <c r="O778" s="1782"/>
      <c r="P778" s="2380"/>
      <c r="Q778" s="2380"/>
      <c r="R778" s="2353">
        <v>1</v>
      </c>
      <c r="S778" s="2347" t="str">
        <f>$K778</f>
        <v>.1</v>
      </c>
      <c r="T778" s="2366"/>
      <c r="U778" s="306"/>
      <c r="V778" s="757"/>
      <c r="W778" s="1263"/>
      <c r="X778" s="757"/>
      <c r="Y778" s="1263"/>
      <c r="Z778" s="2608"/>
      <c r="AA778" s="2113" t="s">
        <v>62</v>
      </c>
      <c r="AB778" s="2608"/>
      <c r="AC778" s="2113" t="s">
        <v>62</v>
      </c>
      <c r="AD778" s="2191" t="s">
        <v>62</v>
      </c>
      <c r="AE778" s="2332"/>
      <c r="AF778" s="2443">
        <v>1</v>
      </c>
      <c r="AG778" s="2369"/>
      <c r="AH778" s="2113" t="s">
        <v>62</v>
      </c>
      <c r="AI778" s="689" t="s">
        <v>253</v>
      </c>
      <c r="AJ778" s="2443" t="s">
        <v>112</v>
      </c>
      <c r="AK778" s="2333" t="s">
        <v>533</v>
      </c>
      <c r="AL778" s="2113" t="s">
        <v>19</v>
      </c>
      <c r="AM778" s="2300"/>
      <c r="AN778" s="2443">
        <v>1</v>
      </c>
      <c r="AO778" s="3340" t="s">
        <v>28</v>
      </c>
      <c r="AP778" s="2364" t="s">
        <v>62</v>
      </c>
      <c r="AQ778" s="317"/>
      <c r="AR778" s="2443">
        <v>1</v>
      </c>
      <c r="AS778" s="2582" t="s">
        <v>541</v>
      </c>
      <c r="AT778" s="757"/>
      <c r="AU778" s="1263"/>
      <c r="AV778" s="757"/>
      <c r="AW778" s="1263">
        <v>10628.15</v>
      </c>
      <c r="AX778" s="2608">
        <v>46023.38925925926</v>
      </c>
      <c r="AY778" s="2113" t="s">
        <v>62</v>
      </c>
      <c r="AZ778" s="2608">
        <v>46387.40960648148</v>
      </c>
      <c r="BA778" s="2113" t="s">
        <v>62</v>
      </c>
      <c r="BB778" s="1354"/>
      <c r="BC778" s="2259" t="s">
        <v>514</v>
      </c>
      <c r="BD778" s="1648"/>
      <c r="BE778" s="1630"/>
      <c r="BF778" s="1630" t="str">
        <f>IF(T778="","",T778)</f>
        <v/>
      </c>
      <c r="BG778" s="1630"/>
      <c r="BH778" s="1630"/>
      <c r="BI778" s="1641">
        <v>0</v>
      </c>
    </row>
    <row customHeight="1" ht="14.25">
      <c r="A779" s="1369"/>
      <c r="B779" s="1369"/>
      <c r="C779" s="1369"/>
      <c r="D779" s="1369"/>
      <c r="E779" s="2265"/>
      <c r="F779" s="2265"/>
      <c r="G779" s="2265"/>
      <c r="H779" s="2265"/>
      <c r="I779" s="2292"/>
      <c r="J779" s="2292"/>
      <c r="K779" s="2262" t="str">
        <f>S775&amp;".1"</f>
        <v>.1.1</v>
      </c>
      <c r="L779" s="1375"/>
      <c r="M779" s="1782"/>
      <c r="N779" s="1782"/>
      <c r="O779" s="1782"/>
      <c r="P779" s="2380"/>
      <c r="Q779" s="2380"/>
      <c r="R779" s="2353">
        <v>1</v>
      </c>
      <c r="S779" s="2347" t="str">
        <f>$K779</f>
        <v>.1.1</v>
      </c>
      <c r="T779" s="2366"/>
      <c r="U779" s="306"/>
      <c r="V779" s="757"/>
      <c r="W779" s="1263"/>
      <c r="X779" s="757"/>
      <c r="Y779" s="1263"/>
      <c r="Z779" s="2608"/>
      <c r="AA779" s="2113" t="s">
        <v>62</v>
      </c>
      <c r="AB779" s="2608"/>
      <c r="AC779" s="2113" t="s">
        <v>62</v>
      </c>
      <c r="AD779" s="2191" t="s">
        <v>62</v>
      </c>
      <c r="AE779" s="2332"/>
      <c r="AF779" s="2443">
        <v>1</v>
      </c>
      <c r="AG779" s="2369"/>
      <c r="AH779" s="2113" t="s">
        <v>62</v>
      </c>
      <c r="AI779" s="2332"/>
      <c r="AJ779" s="2443">
        <v>1</v>
      </c>
      <c r="AK779" s="2333" t="s">
        <v>28</v>
      </c>
      <c r="AL779" s="2113" t="s">
        <v>62</v>
      </c>
      <c r="AM779" s="2300"/>
      <c r="AN779" s="2443">
        <v>1</v>
      </c>
      <c r="AO779" s="3340" t="s">
        <v>28</v>
      </c>
      <c r="AP779" s="2364" t="s">
        <v>62</v>
      </c>
      <c r="AQ779" s="689" t="s">
        <v>253</v>
      </c>
      <c r="AR779" s="2443" t="s">
        <v>112</v>
      </c>
      <c r="AS779" s="2582" t="s">
        <v>541</v>
      </c>
      <c r="AT779" s="757"/>
      <c r="AU779" s="1263"/>
      <c r="AV779" s="757"/>
      <c r="AW779" s="1263">
        <v>12808.52</v>
      </c>
      <c r="AX779" s="2608">
        <v>46023.38929398148</v>
      </c>
      <c r="AY779" s="2113" t="s">
        <v>62</v>
      </c>
      <c r="AZ779" s="2608">
        <v>46387.40969907407</v>
      </c>
      <c r="BA779" s="2113" t="s">
        <v>62</v>
      </c>
      <c r="BB779" s="1354"/>
      <c r="BC779" s="2259" t="s">
        <v>514</v>
      </c>
      <c r="BD779" s="1648"/>
      <c r="BE779" s="1630"/>
      <c r="BF779" s="1630" t="str">
        <f>IF(T779="","",T779)</f>
        <v/>
      </c>
      <c r="BG779" s="1630"/>
      <c r="BH779" s="1630"/>
      <c r="BI779" s="1641">
        <v>0</v>
      </c>
    </row>
    <row customHeight="1" ht="14.25">
      <c r="A780" s="1369"/>
      <c r="B780" s="1369"/>
      <c r="C780" s="1369"/>
      <c r="D780" s="1369"/>
      <c r="E780" s="2265"/>
      <c r="F780" s="2265"/>
      <c r="G780" s="2265"/>
      <c r="H780" s="2265"/>
      <c r="I780" s="2292"/>
      <c r="J780" s="2292"/>
      <c r="K780" s="2262"/>
      <c r="L780" s="1375"/>
      <c r="M780" s="1782"/>
      <c r="N780" s="1782"/>
      <c r="O780" s="1782"/>
      <c r="P780" s="2380"/>
      <c r="Q780" s="2380"/>
      <c r="R780" s="2353"/>
      <c r="S780" s="2348"/>
      <c r="T780" s="2367"/>
      <c r="U780" s="306"/>
      <c r="V780" s="7380"/>
      <c r="W780" s="7381"/>
      <c r="X780" s="7380"/>
      <c r="Y780" s="7381"/>
      <c r="Z780" s="7380"/>
      <c r="AA780" s="7380"/>
      <c r="AB780" s="7380"/>
      <c r="AC780" s="7380"/>
      <c r="AD780" s="2192"/>
      <c r="AE780" s="2332"/>
      <c r="AF780" s="2443"/>
      <c r="AG780" s="2369"/>
      <c r="AH780" s="2113"/>
      <c r="AI780" s="2332"/>
      <c r="AJ780" s="2443">
        <v>1</v>
      </c>
      <c r="AK780" s="2333"/>
      <c r="AL780" s="2113"/>
      <c r="AM780" s="2301"/>
      <c r="AN780" s="2443"/>
      <c r="AO780" s="3340" t="s">
        <v>28</v>
      </c>
      <c r="AP780" s="2365"/>
      <c r="AQ780" s="7382"/>
      <c r="AR780" s="7383"/>
      <c r="AS780" s="7604" t="s">
        <v>515</v>
      </c>
      <c r="AT780" s="7380"/>
      <c r="AU780" s="7381"/>
      <c r="AV780" s="7380"/>
      <c r="AW780" s="7381"/>
      <c r="AX780" s="7380"/>
      <c r="AY780" s="7380"/>
      <c r="AZ780" s="7380"/>
      <c r="BA780" s="7380"/>
      <c r="BB780" s="7385"/>
      <c r="BC780" s="2260"/>
      <c r="BD780" s="1648"/>
      <c r="BE780" s="1630"/>
      <c r="BF780" s="1630"/>
      <c r="BG780" s="1630"/>
      <c r="BH780" s="1630"/>
      <c r="BI780" s="1641">
        <v>0</v>
      </c>
    </row>
    <row customHeight="1" ht="14.25">
      <c r="A781" s="1369"/>
      <c r="B781" s="1369"/>
      <c r="C781" s="1369"/>
      <c r="D781" s="1369"/>
      <c r="E781" s="2265"/>
      <c r="F781" s="2265"/>
      <c r="G781" s="2265"/>
      <c r="H781" s="2265"/>
      <c r="I781" s="2292"/>
      <c r="J781" s="2292"/>
      <c r="K781" s="2262"/>
      <c r="L781" s="1375"/>
      <c r="M781" s="1782"/>
      <c r="N781" s="1782"/>
      <c r="O781" s="1782"/>
      <c r="P781" s="2380"/>
      <c r="Q781" s="2380"/>
      <c r="R781" s="2353"/>
      <c r="S781" s="2348"/>
      <c r="T781" s="2367"/>
      <c r="U781" s="306"/>
      <c r="V781" s="7380"/>
      <c r="W781" s="7381"/>
      <c r="X781" s="7380"/>
      <c r="Y781" s="7381"/>
      <c r="Z781" s="7380"/>
      <c r="AA781" s="7380"/>
      <c r="AB781" s="7380"/>
      <c r="AC781" s="7380"/>
      <c r="AD781" s="2192"/>
      <c r="AE781" s="2332"/>
      <c r="AF781" s="2443"/>
      <c r="AG781" s="2369"/>
      <c r="AH781" s="2113"/>
      <c r="AI781" s="2332"/>
      <c r="AJ781" s="2443">
        <v>1</v>
      </c>
      <c r="AK781" s="2333"/>
      <c r="AL781" s="2113"/>
      <c r="AM781" s="7382"/>
      <c r="AN781" s="7386"/>
      <c r="AO781" s="7605" t="s">
        <v>516</v>
      </c>
      <c r="AP781" s="7383"/>
      <c r="AQ781" s="7383"/>
      <c r="AR781" s="7383"/>
      <c r="AS781" s="7380"/>
      <c r="AT781" s="7380"/>
      <c r="AU781" s="7381"/>
      <c r="AV781" s="7380"/>
      <c r="AW781" s="7381"/>
      <c r="AX781" s="7380"/>
      <c r="AY781" s="7380"/>
      <c r="AZ781" s="7380"/>
      <c r="BA781" s="7380"/>
      <c r="BB781" s="7385"/>
      <c r="BC781" s="2260"/>
      <c r="BD781" s="1648"/>
      <c r="BE781" s="1630"/>
      <c r="BF781" s="1630"/>
      <c r="BG781" s="1630"/>
      <c r="BH781" s="1630"/>
      <c r="BI781" s="1641">
        <v>0</v>
      </c>
    </row>
    <row customHeight="1" ht="14.25">
      <c r="A782" s="1369"/>
      <c r="B782" s="1369"/>
      <c r="C782" s="1369"/>
      <c r="D782" s="1369"/>
      <c r="E782" s="2265"/>
      <c r="F782" s="2265"/>
      <c r="G782" s="2265"/>
      <c r="H782" s="2265"/>
      <c r="I782" s="2292"/>
      <c r="J782" s="2292"/>
      <c r="K782" s="2262" t="str">
        <f>S777&amp;".1"</f>
        <v>.1</v>
      </c>
      <c r="L782" s="1375"/>
      <c r="M782" s="1782"/>
      <c r="N782" s="1782"/>
      <c r="O782" s="1782"/>
      <c r="P782" s="2380"/>
      <c r="Q782" s="2380"/>
      <c r="R782" s="2353">
        <v>1</v>
      </c>
      <c r="S782" s="2347" t="str">
        <f>$K782</f>
        <v>.1</v>
      </c>
      <c r="T782" s="2366"/>
      <c r="U782" s="306"/>
      <c r="V782" s="757"/>
      <c r="W782" s="1263"/>
      <c r="X782" s="757"/>
      <c r="Y782" s="1263"/>
      <c r="Z782" s="2608"/>
      <c r="AA782" s="2113" t="s">
        <v>62</v>
      </c>
      <c r="AB782" s="2608"/>
      <c r="AC782" s="2113" t="s">
        <v>62</v>
      </c>
      <c r="AD782" s="2191" t="s">
        <v>62</v>
      </c>
      <c r="AE782" s="2332"/>
      <c r="AF782" s="2443">
        <v>1</v>
      </c>
      <c r="AG782" s="2369"/>
      <c r="AH782" s="2113" t="s">
        <v>62</v>
      </c>
      <c r="AI782" s="689" t="s">
        <v>253</v>
      </c>
      <c r="AJ782" s="2443" t="s">
        <v>91</v>
      </c>
      <c r="AK782" s="2333" t="s">
        <v>534</v>
      </c>
      <c r="AL782" s="2113" t="s">
        <v>19</v>
      </c>
      <c r="AM782" s="2300"/>
      <c r="AN782" s="2443">
        <v>1</v>
      </c>
      <c r="AO782" s="3340" t="s">
        <v>28</v>
      </c>
      <c r="AP782" s="2364" t="s">
        <v>62</v>
      </c>
      <c r="AQ782" s="317"/>
      <c r="AR782" s="2443">
        <v>1</v>
      </c>
      <c r="AS782" s="2582" t="s">
        <v>541</v>
      </c>
      <c r="AT782" s="757"/>
      <c r="AU782" s="1263"/>
      <c r="AV782" s="757"/>
      <c r="AW782" s="1263">
        <v>14347.6</v>
      </c>
      <c r="AX782" s="2608">
        <v>46023.389328703706</v>
      </c>
      <c r="AY782" s="2113" t="s">
        <v>62</v>
      </c>
      <c r="AZ782" s="2608">
        <v>46387.409780092596</v>
      </c>
      <c r="BA782" s="2113" t="s">
        <v>62</v>
      </c>
      <c r="BB782" s="1354"/>
      <c r="BC782" s="2259" t="s">
        <v>514</v>
      </c>
      <c r="BD782" s="1648"/>
      <c r="BE782" s="1630"/>
      <c r="BF782" s="1630" t="str">
        <f>IF(T782="","",T782)</f>
        <v/>
      </c>
      <c r="BG782" s="1630"/>
      <c r="BH782" s="1630"/>
      <c r="BI782" s="1641">
        <v>0</v>
      </c>
    </row>
    <row customHeight="1" ht="14.25">
      <c r="A783" s="1369"/>
      <c r="B783" s="1369"/>
      <c r="C783" s="1369"/>
      <c r="D783" s="1369"/>
      <c r="E783" s="2265"/>
      <c r="F783" s="2265"/>
      <c r="G783" s="2265"/>
      <c r="H783" s="2265"/>
      <c r="I783" s="2292"/>
      <c r="J783" s="2292"/>
      <c r="K783" s="2262" t="str">
        <f>S779&amp;".1"</f>
        <v>.1.1.1</v>
      </c>
      <c r="L783" s="1375"/>
      <c r="M783" s="1782"/>
      <c r="N783" s="1782"/>
      <c r="O783" s="1782"/>
      <c r="P783" s="2380"/>
      <c r="Q783" s="2380"/>
      <c r="R783" s="2353">
        <v>1</v>
      </c>
      <c r="S783" s="2347" t="str">
        <f>$K783</f>
        <v>.1.1.1</v>
      </c>
      <c r="T783" s="2366"/>
      <c r="U783" s="306"/>
      <c r="V783" s="757"/>
      <c r="W783" s="1263"/>
      <c r="X783" s="757"/>
      <c r="Y783" s="1263"/>
      <c r="Z783" s="2608"/>
      <c r="AA783" s="2113" t="s">
        <v>62</v>
      </c>
      <c r="AB783" s="2608"/>
      <c r="AC783" s="2113" t="s">
        <v>62</v>
      </c>
      <c r="AD783" s="2191" t="s">
        <v>62</v>
      </c>
      <c r="AE783" s="2332"/>
      <c r="AF783" s="2443">
        <v>1</v>
      </c>
      <c r="AG783" s="2369"/>
      <c r="AH783" s="2113" t="s">
        <v>62</v>
      </c>
      <c r="AI783" s="2332"/>
      <c r="AJ783" s="2443">
        <v>1</v>
      </c>
      <c r="AK783" s="2333" t="s">
        <v>28</v>
      </c>
      <c r="AL783" s="2113" t="s">
        <v>62</v>
      </c>
      <c r="AM783" s="2300"/>
      <c r="AN783" s="2443">
        <v>1</v>
      </c>
      <c r="AO783" s="3340" t="s">
        <v>28</v>
      </c>
      <c r="AP783" s="2364" t="s">
        <v>62</v>
      </c>
      <c r="AQ783" s="689" t="s">
        <v>253</v>
      </c>
      <c r="AR783" s="2443" t="s">
        <v>112</v>
      </c>
      <c r="AS783" s="2582" t="s">
        <v>541</v>
      </c>
      <c r="AT783" s="757"/>
      <c r="AU783" s="1263"/>
      <c r="AV783" s="757"/>
      <c r="AW783" s="1263">
        <v>15337.13</v>
      </c>
      <c r="AX783" s="2608">
        <v>46023.38936342593</v>
      </c>
      <c r="AY783" s="2113" t="s">
        <v>62</v>
      </c>
      <c r="AZ783" s="2608">
        <v>46387.40986111111</v>
      </c>
      <c r="BA783" s="2113" t="s">
        <v>62</v>
      </c>
      <c r="BB783" s="1354"/>
      <c r="BC783" s="2259" t="s">
        <v>514</v>
      </c>
      <c r="BD783" s="1648"/>
      <c r="BE783" s="1630"/>
      <c r="BF783" s="1630" t="str">
        <f>IF(T783="","",T783)</f>
        <v/>
      </c>
      <c r="BG783" s="1630"/>
      <c r="BH783" s="1630"/>
      <c r="BI783" s="1641">
        <v>0</v>
      </c>
    </row>
    <row customHeight="1" ht="14.25">
      <c r="A784" s="1369"/>
      <c r="B784" s="1369"/>
      <c r="C784" s="1369"/>
      <c r="D784" s="1369"/>
      <c r="E784" s="2265"/>
      <c r="F784" s="2265"/>
      <c r="G784" s="2265"/>
      <c r="H784" s="2265"/>
      <c r="I784" s="2292"/>
      <c r="J784" s="2292"/>
      <c r="K784" s="2262"/>
      <c r="L784" s="1375"/>
      <c r="M784" s="1782"/>
      <c r="N784" s="1782"/>
      <c r="O784" s="1782"/>
      <c r="P784" s="2380"/>
      <c r="Q784" s="2380"/>
      <c r="R784" s="2353"/>
      <c r="S784" s="2348"/>
      <c r="T784" s="2367"/>
      <c r="U784" s="306"/>
      <c r="V784" s="7380"/>
      <c r="W784" s="7381"/>
      <c r="X784" s="7380"/>
      <c r="Y784" s="7381"/>
      <c r="Z784" s="7380"/>
      <c r="AA784" s="7380"/>
      <c r="AB784" s="7380"/>
      <c r="AC784" s="7380"/>
      <c r="AD784" s="2192"/>
      <c r="AE784" s="2332"/>
      <c r="AF784" s="2443"/>
      <c r="AG784" s="2369"/>
      <c r="AH784" s="2113"/>
      <c r="AI784" s="2332"/>
      <c r="AJ784" s="2443" t="s">
        <v>112</v>
      </c>
      <c r="AK784" s="2333"/>
      <c r="AL784" s="2113"/>
      <c r="AM784" s="2301"/>
      <c r="AN784" s="2443"/>
      <c r="AO784" s="3340" t="s">
        <v>28</v>
      </c>
      <c r="AP784" s="2365"/>
      <c r="AQ784" s="7382"/>
      <c r="AR784" s="7383"/>
      <c r="AS784" s="7606" t="s">
        <v>515</v>
      </c>
      <c r="AT784" s="7380"/>
      <c r="AU784" s="7381"/>
      <c r="AV784" s="7380"/>
      <c r="AW784" s="7381"/>
      <c r="AX784" s="7380"/>
      <c r="AY784" s="7380"/>
      <c r="AZ784" s="7380"/>
      <c r="BA784" s="7380"/>
      <c r="BB784" s="7385"/>
      <c r="BC784" s="2260"/>
      <c r="BD784" s="1648"/>
      <c r="BE784" s="1630"/>
      <c r="BF784" s="1630"/>
      <c r="BG784" s="1630"/>
      <c r="BH784" s="1630"/>
      <c r="BI784" s="1641">
        <v>0</v>
      </c>
    </row>
    <row customHeight="1" ht="14.25">
      <c r="A785" s="1369"/>
      <c r="B785" s="1369"/>
      <c r="C785" s="1369"/>
      <c r="D785" s="1369"/>
      <c r="E785" s="2265"/>
      <c r="F785" s="2265"/>
      <c r="G785" s="2265"/>
      <c r="H785" s="2265"/>
      <c r="I785" s="2292"/>
      <c r="J785" s="2292"/>
      <c r="K785" s="2262"/>
      <c r="L785" s="1375"/>
      <c r="M785" s="1782"/>
      <c r="N785" s="1782"/>
      <c r="O785" s="1782"/>
      <c r="P785" s="2380"/>
      <c r="Q785" s="2380"/>
      <c r="R785" s="2353"/>
      <c r="S785" s="2348"/>
      <c r="T785" s="2367"/>
      <c r="U785" s="306"/>
      <c r="V785" s="7380"/>
      <c r="W785" s="7381"/>
      <c r="X785" s="7380"/>
      <c r="Y785" s="7381"/>
      <c r="Z785" s="7380"/>
      <c r="AA785" s="7380"/>
      <c r="AB785" s="7380"/>
      <c r="AC785" s="7380"/>
      <c r="AD785" s="2192"/>
      <c r="AE785" s="2332"/>
      <c r="AF785" s="2443"/>
      <c r="AG785" s="2369"/>
      <c r="AH785" s="2113"/>
      <c r="AI785" s="2332"/>
      <c r="AJ785" s="2443" t="s">
        <v>112</v>
      </c>
      <c r="AK785" s="2333"/>
      <c r="AL785" s="2113"/>
      <c r="AM785" s="7382"/>
      <c r="AN785" s="7386"/>
      <c r="AO785" s="7607" t="s">
        <v>516</v>
      </c>
      <c r="AP785" s="7383"/>
      <c r="AQ785" s="7383"/>
      <c r="AR785" s="7383"/>
      <c r="AS785" s="7380"/>
      <c r="AT785" s="7380"/>
      <c r="AU785" s="7381"/>
      <c r="AV785" s="7380"/>
      <c r="AW785" s="7381"/>
      <c r="AX785" s="7380"/>
      <c r="AY785" s="7380"/>
      <c r="AZ785" s="7380"/>
      <c r="BA785" s="7380"/>
      <c r="BB785" s="7385"/>
      <c r="BC785" s="2260"/>
      <c r="BD785" s="1648"/>
      <c r="BE785" s="1630"/>
      <c r="BF785" s="1630"/>
      <c r="BG785" s="1630"/>
      <c r="BH785" s="1630"/>
      <c r="BI785" s="1641">
        <v>0</v>
      </c>
    </row>
    <row customHeight="1" ht="14.25">
      <c r="A786" s="1369"/>
      <c r="B786" s="1369"/>
      <c r="C786" s="1369"/>
      <c r="D786" s="1369"/>
      <c r="E786" s="2265"/>
      <c r="F786" s="2265"/>
      <c r="G786" s="2265"/>
      <c r="H786" s="2265"/>
      <c r="I786" s="2292"/>
      <c r="J786" s="2292"/>
      <c r="K786" s="2262" t="str">
        <f>S781&amp;".1"</f>
        <v>.1</v>
      </c>
      <c r="L786" s="1375"/>
      <c r="M786" s="1782"/>
      <c r="N786" s="1782"/>
      <c r="O786" s="1782"/>
      <c r="P786" s="2380"/>
      <c r="Q786" s="2380"/>
      <c r="R786" s="2353">
        <v>1</v>
      </c>
      <c r="S786" s="2347" t="str">
        <f>$K786</f>
        <v>.1</v>
      </c>
      <c r="T786" s="2366"/>
      <c r="U786" s="306"/>
      <c r="V786" s="757"/>
      <c r="W786" s="1263"/>
      <c r="X786" s="757"/>
      <c r="Y786" s="1263"/>
      <c r="Z786" s="2608"/>
      <c r="AA786" s="2113" t="s">
        <v>62</v>
      </c>
      <c r="AB786" s="2608"/>
      <c r="AC786" s="2113" t="s">
        <v>62</v>
      </c>
      <c r="AD786" s="2191" t="s">
        <v>62</v>
      </c>
      <c r="AE786" s="2332"/>
      <c r="AF786" s="2443">
        <v>1</v>
      </c>
      <c r="AG786" s="2369"/>
      <c r="AH786" s="2113" t="s">
        <v>62</v>
      </c>
      <c r="AI786" s="689" t="s">
        <v>253</v>
      </c>
      <c r="AJ786" s="2443" t="s">
        <v>92</v>
      </c>
      <c r="AK786" s="2333" t="s">
        <v>535</v>
      </c>
      <c r="AL786" s="2113" t="s">
        <v>19</v>
      </c>
      <c r="AM786" s="2300"/>
      <c r="AN786" s="2443">
        <v>1</v>
      </c>
      <c r="AO786" s="3340" t="s">
        <v>28</v>
      </c>
      <c r="AP786" s="2364" t="s">
        <v>62</v>
      </c>
      <c r="AQ786" s="317"/>
      <c r="AR786" s="2443">
        <v>1</v>
      </c>
      <c r="AS786" s="2582" t="s">
        <v>541</v>
      </c>
      <c r="AT786" s="757"/>
      <c r="AU786" s="1263"/>
      <c r="AV786" s="757"/>
      <c r="AW786" s="1263">
        <v>19255.51</v>
      </c>
      <c r="AX786" s="2608">
        <v>46023.38940972222</v>
      </c>
      <c r="AY786" s="2113" t="s">
        <v>62</v>
      </c>
      <c r="AZ786" s="2608">
        <v>46387.40994212963</v>
      </c>
      <c r="BA786" s="2113" t="s">
        <v>62</v>
      </c>
      <c r="BB786" s="1354"/>
      <c r="BC786" s="2259" t="s">
        <v>514</v>
      </c>
      <c r="BD786" s="1648"/>
      <c r="BE786" s="1630"/>
      <c r="BF786" s="1630" t="str">
        <f>IF(T786="","",T786)</f>
        <v/>
      </c>
      <c r="BG786" s="1630"/>
      <c r="BH786" s="1630"/>
      <c r="BI786" s="1641">
        <v>0</v>
      </c>
    </row>
    <row customHeight="1" ht="14.25">
      <c r="A787" s="1369"/>
      <c r="B787" s="1369"/>
      <c r="C787" s="1369"/>
      <c r="D787" s="1369"/>
      <c r="E787" s="2265"/>
      <c r="F787" s="2265"/>
      <c r="G787" s="2265"/>
      <c r="H787" s="2265"/>
      <c r="I787" s="2292"/>
      <c r="J787" s="2292"/>
      <c r="K787" s="2262" t="str">
        <f>S783&amp;".1"</f>
        <v>.1.1.1.1</v>
      </c>
      <c r="L787" s="1375"/>
      <c r="M787" s="1782"/>
      <c r="N787" s="1782"/>
      <c r="O787" s="1782"/>
      <c r="P787" s="2380"/>
      <c r="Q787" s="2380"/>
      <c r="R787" s="2353">
        <v>1</v>
      </c>
      <c r="S787" s="2347" t="str">
        <f>$K787</f>
        <v>.1.1.1.1</v>
      </c>
      <c r="T787" s="2366"/>
      <c r="U787" s="306"/>
      <c r="V787" s="757"/>
      <c r="W787" s="1263"/>
      <c r="X787" s="757"/>
      <c r="Y787" s="1263"/>
      <c r="Z787" s="2608"/>
      <c r="AA787" s="2113" t="s">
        <v>62</v>
      </c>
      <c r="AB787" s="2608"/>
      <c r="AC787" s="2113" t="s">
        <v>62</v>
      </c>
      <c r="AD787" s="2191" t="s">
        <v>62</v>
      </c>
      <c r="AE787" s="2332"/>
      <c r="AF787" s="2443">
        <v>1</v>
      </c>
      <c r="AG787" s="2369"/>
      <c r="AH787" s="2113" t="s">
        <v>62</v>
      </c>
      <c r="AI787" s="2332"/>
      <c r="AJ787" s="2443">
        <v>1</v>
      </c>
      <c r="AK787" s="2333" t="s">
        <v>28</v>
      </c>
      <c r="AL787" s="2113" t="s">
        <v>62</v>
      </c>
      <c r="AM787" s="2300"/>
      <c r="AN787" s="2443">
        <v>1</v>
      </c>
      <c r="AO787" s="3340" t="s">
        <v>28</v>
      </c>
      <c r="AP787" s="2364" t="s">
        <v>62</v>
      </c>
      <c r="AQ787" s="689" t="s">
        <v>253</v>
      </c>
      <c r="AR787" s="2443" t="s">
        <v>112</v>
      </c>
      <c r="AS787" s="2582" t="s">
        <v>541</v>
      </c>
      <c r="AT787" s="757"/>
      <c r="AU787" s="1263"/>
      <c r="AV787" s="757"/>
      <c r="AW787" s="1263">
        <v>22023.92</v>
      </c>
      <c r="AX787" s="2608">
        <v>46023.389444444445</v>
      </c>
      <c r="AY787" s="2113" t="s">
        <v>62</v>
      </c>
      <c r="AZ787" s="2608">
        <v>46387.41001157407</v>
      </c>
      <c r="BA787" s="2113" t="s">
        <v>62</v>
      </c>
      <c r="BB787" s="1354"/>
      <c r="BC787" s="2259" t="s">
        <v>514</v>
      </c>
      <c r="BD787" s="1648"/>
      <c r="BE787" s="1630"/>
      <c r="BF787" s="1630" t="str">
        <f>IF(T787="","",T787)</f>
        <v/>
      </c>
      <c r="BG787" s="1630"/>
      <c r="BH787" s="1630"/>
      <c r="BI787" s="1641">
        <v>0</v>
      </c>
    </row>
    <row customHeight="1" ht="14.25">
      <c r="A788" s="1369"/>
      <c r="B788" s="1369"/>
      <c r="C788" s="1369"/>
      <c r="D788" s="1369"/>
      <c r="E788" s="2265"/>
      <c r="F788" s="2265"/>
      <c r="G788" s="2265"/>
      <c r="H788" s="2265"/>
      <c r="I788" s="2292"/>
      <c r="J788" s="2292"/>
      <c r="K788" s="2262"/>
      <c r="L788" s="1375"/>
      <c r="M788" s="1782"/>
      <c r="N788" s="1782"/>
      <c r="O788" s="1782"/>
      <c r="P788" s="2380"/>
      <c r="Q788" s="2380"/>
      <c r="R788" s="2353"/>
      <c r="S788" s="2348"/>
      <c r="T788" s="2367"/>
      <c r="U788" s="306"/>
      <c r="V788" s="7380"/>
      <c r="W788" s="7381"/>
      <c r="X788" s="7380"/>
      <c r="Y788" s="7381"/>
      <c r="Z788" s="7380"/>
      <c r="AA788" s="7380"/>
      <c r="AB788" s="7380"/>
      <c r="AC788" s="7380"/>
      <c r="AD788" s="2192"/>
      <c r="AE788" s="2332"/>
      <c r="AF788" s="2443"/>
      <c r="AG788" s="2369"/>
      <c r="AH788" s="2113"/>
      <c r="AI788" s="2332"/>
      <c r="AJ788" s="2443" t="s">
        <v>91</v>
      </c>
      <c r="AK788" s="2333"/>
      <c r="AL788" s="2113"/>
      <c r="AM788" s="2301"/>
      <c r="AN788" s="2443"/>
      <c r="AO788" s="3340" t="s">
        <v>28</v>
      </c>
      <c r="AP788" s="2365"/>
      <c r="AQ788" s="7382"/>
      <c r="AR788" s="7383"/>
      <c r="AS788" s="7608" t="s">
        <v>515</v>
      </c>
      <c r="AT788" s="7380"/>
      <c r="AU788" s="7381"/>
      <c r="AV788" s="7380"/>
      <c r="AW788" s="7381"/>
      <c r="AX788" s="7380"/>
      <c r="AY788" s="7380"/>
      <c r="AZ788" s="7380"/>
      <c r="BA788" s="7380"/>
      <c r="BB788" s="7385"/>
      <c r="BC788" s="2260"/>
      <c r="BD788" s="1648"/>
      <c r="BE788" s="1630"/>
      <c r="BF788" s="1630"/>
      <c r="BG788" s="1630"/>
      <c r="BH788" s="1630"/>
      <c r="BI788" s="1641">
        <v>0</v>
      </c>
    </row>
    <row customHeight="1" ht="14.25">
      <c r="A789" s="1369"/>
      <c r="B789" s="1369"/>
      <c r="C789" s="1369"/>
      <c r="D789" s="1369"/>
      <c r="E789" s="2265"/>
      <c r="F789" s="2265"/>
      <c r="G789" s="2265"/>
      <c r="H789" s="2265"/>
      <c r="I789" s="2292"/>
      <c r="J789" s="2292"/>
      <c r="K789" s="2262"/>
      <c r="L789" s="1375"/>
      <c r="M789" s="1782"/>
      <c r="N789" s="1782"/>
      <c r="O789" s="1782"/>
      <c r="P789" s="2380"/>
      <c r="Q789" s="2380"/>
      <c r="R789" s="2353"/>
      <c r="S789" s="2348"/>
      <c r="T789" s="2367"/>
      <c r="U789" s="306"/>
      <c r="V789" s="7380"/>
      <c r="W789" s="7381"/>
      <c r="X789" s="7380"/>
      <c r="Y789" s="7381"/>
      <c r="Z789" s="7380"/>
      <c r="AA789" s="7380"/>
      <c r="AB789" s="7380"/>
      <c r="AC789" s="7380"/>
      <c r="AD789" s="2192"/>
      <c r="AE789" s="2332"/>
      <c r="AF789" s="2443"/>
      <c r="AG789" s="2369"/>
      <c r="AH789" s="2113"/>
      <c r="AI789" s="2332"/>
      <c r="AJ789" s="2443" t="s">
        <v>91</v>
      </c>
      <c r="AK789" s="2333"/>
      <c r="AL789" s="2113"/>
      <c r="AM789" s="7382"/>
      <c r="AN789" s="7386"/>
      <c r="AO789" s="7609" t="s">
        <v>516</v>
      </c>
      <c r="AP789" s="7383"/>
      <c r="AQ789" s="7383"/>
      <c r="AR789" s="7383"/>
      <c r="AS789" s="7380"/>
      <c r="AT789" s="7380"/>
      <c r="AU789" s="7381"/>
      <c r="AV789" s="7380"/>
      <c r="AW789" s="7381"/>
      <c r="AX789" s="7380"/>
      <c r="AY789" s="7380"/>
      <c r="AZ789" s="7380"/>
      <c r="BA789" s="7380"/>
      <c r="BB789" s="7385"/>
      <c r="BC789" s="2260"/>
      <c r="BD789" s="1648"/>
      <c r="BE789" s="1630"/>
      <c r="BF789" s="1630"/>
      <c r="BG789" s="1630"/>
      <c r="BH789" s="1630"/>
      <c r="BI789" s="1641">
        <v>0</v>
      </c>
    </row>
    <row customHeight="1" ht="14.25">
      <c r="A790" s="1369"/>
      <c r="B790" s="1369"/>
      <c r="C790" s="1369"/>
      <c r="D790" s="1369"/>
      <c r="E790" s="2265"/>
      <c r="F790" s="2265"/>
      <c r="G790" s="2265"/>
      <c r="H790" s="2265"/>
      <c r="I790" s="2292"/>
      <c r="J790" s="2292"/>
      <c r="K790" s="2262" t="str">
        <f>S785&amp;".1"</f>
        <v>.1</v>
      </c>
      <c r="L790" s="1375"/>
      <c r="M790" s="1782"/>
      <c r="N790" s="1782"/>
      <c r="O790" s="1782"/>
      <c r="P790" s="2380"/>
      <c r="Q790" s="2380"/>
      <c r="R790" s="2353">
        <v>1</v>
      </c>
      <c r="S790" s="2347" t="str">
        <f>$K790</f>
        <v>.1</v>
      </c>
      <c r="T790" s="2366"/>
      <c r="U790" s="306"/>
      <c r="V790" s="757"/>
      <c r="W790" s="1263"/>
      <c r="X790" s="757"/>
      <c r="Y790" s="1263"/>
      <c r="Z790" s="2608"/>
      <c r="AA790" s="2113" t="s">
        <v>62</v>
      </c>
      <c r="AB790" s="2608"/>
      <c r="AC790" s="2113" t="s">
        <v>62</v>
      </c>
      <c r="AD790" s="2191" t="s">
        <v>62</v>
      </c>
      <c r="AE790" s="2332"/>
      <c r="AF790" s="2443">
        <v>1</v>
      </c>
      <c r="AG790" s="2369"/>
      <c r="AH790" s="2113" t="s">
        <v>62</v>
      </c>
      <c r="AI790" s="689" t="s">
        <v>253</v>
      </c>
      <c r="AJ790" s="2443" t="s">
        <v>113</v>
      </c>
      <c r="AK790" s="2333" t="s">
        <v>536</v>
      </c>
      <c r="AL790" s="2113" t="s">
        <v>19</v>
      </c>
      <c r="AM790" s="2300"/>
      <c r="AN790" s="2443">
        <v>1</v>
      </c>
      <c r="AO790" s="3340" t="s">
        <v>28</v>
      </c>
      <c r="AP790" s="2364" t="s">
        <v>62</v>
      </c>
      <c r="AQ790" s="317"/>
      <c r="AR790" s="2443">
        <v>1</v>
      </c>
      <c r="AS790" s="2582" t="s">
        <v>541</v>
      </c>
      <c r="AT790" s="757"/>
      <c r="AU790" s="1263"/>
      <c r="AV790" s="757"/>
      <c r="AW790" s="1263">
        <v>27532.46</v>
      </c>
      <c r="AX790" s="2608">
        <v>46023.38949074074</v>
      </c>
      <c r="AY790" s="2113" t="s">
        <v>62</v>
      </c>
      <c r="AZ790" s="2608">
        <v>46387.41008101852</v>
      </c>
      <c r="BA790" s="2113" t="s">
        <v>62</v>
      </c>
      <c r="BB790" s="1354"/>
      <c r="BC790" s="2259" t="s">
        <v>514</v>
      </c>
      <c r="BD790" s="1648"/>
      <c r="BE790" s="1630"/>
      <c r="BF790" s="1630" t="str">
        <f>IF(T790="","",T790)</f>
        <v/>
      </c>
      <c r="BG790" s="1630"/>
      <c r="BH790" s="1630"/>
      <c r="BI790" s="1641">
        <v>0</v>
      </c>
    </row>
    <row customHeight="1" ht="14.25">
      <c r="A791" s="1369"/>
      <c r="B791" s="1369"/>
      <c r="C791" s="1369"/>
      <c r="D791" s="1369"/>
      <c r="E791" s="2265"/>
      <c r="F791" s="2265"/>
      <c r="G791" s="2265"/>
      <c r="H791" s="2265"/>
      <c r="I791" s="2292"/>
      <c r="J791" s="2292"/>
      <c r="K791" s="2262"/>
      <c r="L791" s="1375"/>
      <c r="M791" s="1782"/>
      <c r="N791" s="1782"/>
      <c r="O791" s="1782"/>
      <c r="P791" s="2380"/>
      <c r="Q791" s="2380"/>
      <c r="R791" s="2353"/>
      <c r="S791" s="2348"/>
      <c r="T791" s="2367"/>
      <c r="U791" s="306"/>
      <c r="V791" s="7380"/>
      <c r="W791" s="7381"/>
      <c r="X791" s="7380"/>
      <c r="Y791" s="7381"/>
      <c r="Z791" s="7380"/>
      <c r="AA791" s="7380"/>
      <c r="AB791" s="7380"/>
      <c r="AC791" s="7380"/>
      <c r="AD791" s="2192"/>
      <c r="AE791" s="2332"/>
      <c r="AF791" s="2443"/>
      <c r="AG791" s="2369"/>
      <c r="AH791" s="2113"/>
      <c r="AI791" s="2332"/>
      <c r="AJ791" s="2443" t="s">
        <v>92</v>
      </c>
      <c r="AK791" s="2333"/>
      <c r="AL791" s="2113"/>
      <c r="AM791" s="2301"/>
      <c r="AN791" s="2443"/>
      <c r="AO791" s="3340" t="s">
        <v>28</v>
      </c>
      <c r="AP791" s="2365"/>
      <c r="AQ791" s="7382"/>
      <c r="AR791" s="7383"/>
      <c r="AS791" s="7610" t="s">
        <v>515</v>
      </c>
      <c r="AT791" s="7380"/>
      <c r="AU791" s="7381"/>
      <c r="AV791" s="7380"/>
      <c r="AW791" s="7381"/>
      <c r="AX791" s="7380"/>
      <c r="AY791" s="7380"/>
      <c r="AZ791" s="7380"/>
      <c r="BA791" s="7380"/>
      <c r="BB791" s="7385"/>
      <c r="BC791" s="2260"/>
      <c r="BD791" s="1648"/>
      <c r="BE791" s="1630"/>
      <c r="BF791" s="1630"/>
      <c r="BG791" s="1630"/>
      <c r="BH791" s="1630"/>
      <c r="BI791" s="1641">
        <v>0</v>
      </c>
    </row>
    <row customHeight="1" ht="14.25">
      <c r="A792" s="1369"/>
      <c r="B792" s="1369"/>
      <c r="C792" s="1369"/>
      <c r="D792" s="1369"/>
      <c r="E792" s="2265"/>
      <c r="F792" s="2265"/>
      <c r="G792" s="2265"/>
      <c r="H792" s="2265"/>
      <c r="I792" s="2292"/>
      <c r="J792" s="2292"/>
      <c r="K792" s="2262"/>
      <c r="L792" s="1375"/>
      <c r="M792" s="1782"/>
      <c r="N792" s="1782"/>
      <c r="O792" s="1782"/>
      <c r="P792" s="2380"/>
      <c r="Q792" s="2380"/>
      <c r="R792" s="2353"/>
      <c r="S792" s="2348"/>
      <c r="T792" s="2367"/>
      <c r="U792" s="306"/>
      <c r="V792" s="7380"/>
      <c r="W792" s="7381"/>
      <c r="X792" s="7380"/>
      <c r="Y792" s="7381"/>
      <c r="Z792" s="7380"/>
      <c r="AA792" s="7380"/>
      <c r="AB792" s="7380"/>
      <c r="AC792" s="7380"/>
      <c r="AD792" s="2192"/>
      <c r="AE792" s="2332"/>
      <c r="AF792" s="2443"/>
      <c r="AG792" s="2369"/>
      <c r="AH792" s="2113"/>
      <c r="AI792" s="2332"/>
      <c r="AJ792" s="2443" t="s">
        <v>92</v>
      </c>
      <c r="AK792" s="2333"/>
      <c r="AL792" s="2113"/>
      <c r="AM792" s="7382"/>
      <c r="AN792" s="7386"/>
      <c r="AO792" s="7611" t="s">
        <v>516</v>
      </c>
      <c r="AP792" s="7383"/>
      <c r="AQ792" s="7383"/>
      <c r="AR792" s="7383"/>
      <c r="AS792" s="7380"/>
      <c r="AT792" s="7380"/>
      <c r="AU792" s="7381"/>
      <c r="AV792" s="7380"/>
      <c r="AW792" s="7381"/>
      <c r="AX792" s="7380"/>
      <c r="AY792" s="7380"/>
      <c r="AZ792" s="7380"/>
      <c r="BA792" s="7380"/>
      <c r="BB792" s="7385"/>
      <c r="BC792" s="2260"/>
      <c r="BD792" s="1648"/>
      <c r="BE792" s="1630"/>
      <c r="BF792" s="1630"/>
      <c r="BG792" s="1630"/>
      <c r="BH792" s="1630"/>
      <c r="BI792" s="1641">
        <v>0</v>
      </c>
    </row>
    <row customHeight="1" ht="14.25">
      <c r="A793" s="1369"/>
      <c r="B793" s="1369"/>
      <c r="C793" s="1369"/>
      <c r="D793" s="1369"/>
      <c r="E793" s="2265"/>
      <c r="F793" s="2265"/>
      <c r="G793" s="2265"/>
      <c r="H793" s="2265"/>
      <c r="I793" s="2292"/>
      <c r="J793" s="2292"/>
      <c r="K793" s="2262" t="str">
        <f>S789&amp;".1"</f>
        <v>.1</v>
      </c>
      <c r="L793" s="1375"/>
      <c r="M793" s="1782"/>
      <c r="N793" s="1782"/>
      <c r="O793" s="1782"/>
      <c r="P793" s="2380"/>
      <c r="Q793" s="2380"/>
      <c r="R793" s="2353">
        <v>1</v>
      </c>
      <c r="S793" s="2347" t="str">
        <f>$K793</f>
        <v>.1</v>
      </c>
      <c r="T793" s="2366"/>
      <c r="U793" s="306"/>
      <c r="V793" s="757"/>
      <c r="W793" s="1263"/>
      <c r="X793" s="757"/>
      <c r="Y793" s="1263"/>
      <c r="Z793" s="2608"/>
      <c r="AA793" s="2113" t="s">
        <v>62</v>
      </c>
      <c r="AB793" s="2608"/>
      <c r="AC793" s="2113" t="s">
        <v>62</v>
      </c>
      <c r="AD793" s="2191" t="s">
        <v>62</v>
      </c>
      <c r="AE793" s="2332"/>
      <c r="AF793" s="2443">
        <v>1</v>
      </c>
      <c r="AG793" s="2369"/>
      <c r="AH793" s="2113" t="s">
        <v>62</v>
      </c>
      <c r="AI793" s="689" t="s">
        <v>253</v>
      </c>
      <c r="AJ793" s="2443" t="s">
        <v>93</v>
      </c>
      <c r="AK793" s="2333" t="s">
        <v>537</v>
      </c>
      <c r="AL793" s="2113" t="s">
        <v>19</v>
      </c>
      <c r="AM793" s="2300"/>
      <c r="AN793" s="2443">
        <v>1</v>
      </c>
      <c r="AO793" s="3340" t="s">
        <v>28</v>
      </c>
      <c r="AP793" s="2364" t="s">
        <v>62</v>
      </c>
      <c r="AQ793" s="317"/>
      <c r="AR793" s="2443">
        <v>1</v>
      </c>
      <c r="AS793" s="2582" t="s">
        <v>541</v>
      </c>
      <c r="AT793" s="757"/>
      <c r="AU793" s="1263"/>
      <c r="AV793" s="757"/>
      <c r="AW793" s="1263">
        <v>34450.87</v>
      </c>
      <c r="AX793" s="2608">
        <v>46023.38953703704</v>
      </c>
      <c r="AY793" s="2113" t="s">
        <v>62</v>
      </c>
      <c r="AZ793" s="2608">
        <v>46387.41017361111</v>
      </c>
      <c r="BA793" s="2113" t="s">
        <v>62</v>
      </c>
      <c r="BB793" s="1354"/>
      <c r="BC793" s="2259" t="s">
        <v>514</v>
      </c>
      <c r="BD793" s="1648"/>
      <c r="BE793" s="1630"/>
      <c r="BF793" s="1630" t="str">
        <f>IF(T793="","",T793)</f>
        <v/>
      </c>
      <c r="BG793" s="1630"/>
      <c r="BH793" s="1630"/>
      <c r="BI793" s="1641">
        <v>0</v>
      </c>
    </row>
    <row customHeight="1" ht="14.25">
      <c r="A794" s="1369"/>
      <c r="B794" s="1369"/>
      <c r="C794" s="1369"/>
      <c r="D794" s="1369"/>
      <c r="E794" s="2265"/>
      <c r="F794" s="2265"/>
      <c r="G794" s="2265"/>
      <c r="H794" s="2265"/>
      <c r="I794" s="2292"/>
      <c r="J794" s="2292"/>
      <c r="K794" s="2262"/>
      <c r="L794" s="1375"/>
      <c r="M794" s="1782"/>
      <c r="N794" s="1782"/>
      <c r="O794" s="1782"/>
      <c r="P794" s="2380"/>
      <c r="Q794" s="2380"/>
      <c r="R794" s="2353"/>
      <c r="S794" s="2348"/>
      <c r="T794" s="2367"/>
      <c r="U794" s="306"/>
      <c r="V794" s="7380"/>
      <c r="W794" s="7381"/>
      <c r="X794" s="7380"/>
      <c r="Y794" s="7381"/>
      <c r="Z794" s="7380"/>
      <c r="AA794" s="7380"/>
      <c r="AB794" s="7380"/>
      <c r="AC794" s="7380"/>
      <c r="AD794" s="2192"/>
      <c r="AE794" s="2332"/>
      <c r="AF794" s="2443"/>
      <c r="AG794" s="2369"/>
      <c r="AH794" s="2113"/>
      <c r="AI794" s="2332"/>
      <c r="AJ794" s="2443" t="s">
        <v>113</v>
      </c>
      <c r="AK794" s="2333"/>
      <c r="AL794" s="2113"/>
      <c r="AM794" s="2301"/>
      <c r="AN794" s="2443"/>
      <c r="AO794" s="3340" t="s">
        <v>28</v>
      </c>
      <c r="AP794" s="2365"/>
      <c r="AQ794" s="7382"/>
      <c r="AR794" s="7383"/>
      <c r="AS794" s="7612" t="s">
        <v>515</v>
      </c>
      <c r="AT794" s="7380"/>
      <c r="AU794" s="7381"/>
      <c r="AV794" s="7380"/>
      <c r="AW794" s="7381"/>
      <c r="AX794" s="7380"/>
      <c r="AY794" s="7380"/>
      <c r="AZ794" s="7380"/>
      <c r="BA794" s="7380"/>
      <c r="BB794" s="7385"/>
      <c r="BC794" s="2260"/>
      <c r="BD794" s="1648"/>
      <c r="BE794" s="1630"/>
      <c r="BF794" s="1630"/>
      <c r="BG794" s="1630"/>
      <c r="BH794" s="1630"/>
      <c r="BI794" s="1641">
        <v>0</v>
      </c>
    </row>
    <row customHeight="1" ht="14.25">
      <c r="A795" s="1369"/>
      <c r="B795" s="1369"/>
      <c r="C795" s="1369"/>
      <c r="D795" s="1369"/>
      <c r="E795" s="2265"/>
      <c r="F795" s="2265"/>
      <c r="G795" s="2265"/>
      <c r="H795" s="2265"/>
      <c r="I795" s="2292"/>
      <c r="J795" s="2292"/>
      <c r="K795" s="2262"/>
      <c r="L795" s="1375"/>
      <c r="M795" s="1782"/>
      <c r="N795" s="1782"/>
      <c r="O795" s="1782"/>
      <c r="P795" s="2380"/>
      <c r="Q795" s="2380"/>
      <c r="R795" s="2353"/>
      <c r="S795" s="2348"/>
      <c r="T795" s="2367"/>
      <c r="U795" s="306"/>
      <c r="V795" s="7380"/>
      <c r="W795" s="7381"/>
      <c r="X795" s="7380"/>
      <c r="Y795" s="7381"/>
      <c r="Z795" s="7380"/>
      <c r="AA795" s="7380"/>
      <c r="AB795" s="7380"/>
      <c r="AC795" s="7380"/>
      <c r="AD795" s="2192"/>
      <c r="AE795" s="2332"/>
      <c r="AF795" s="2443"/>
      <c r="AG795" s="2369"/>
      <c r="AH795" s="2113"/>
      <c r="AI795" s="2332"/>
      <c r="AJ795" s="2443" t="s">
        <v>113</v>
      </c>
      <c r="AK795" s="2333"/>
      <c r="AL795" s="2113"/>
      <c r="AM795" s="7382"/>
      <c r="AN795" s="7386"/>
      <c r="AO795" s="7613" t="s">
        <v>516</v>
      </c>
      <c r="AP795" s="7383"/>
      <c r="AQ795" s="7383"/>
      <c r="AR795" s="7383"/>
      <c r="AS795" s="7380"/>
      <c r="AT795" s="7380"/>
      <c r="AU795" s="7381"/>
      <c r="AV795" s="7380"/>
      <c r="AW795" s="7381"/>
      <c r="AX795" s="7380"/>
      <c r="AY795" s="7380"/>
      <c r="AZ795" s="7380"/>
      <c r="BA795" s="7380"/>
      <c r="BB795" s="7385"/>
      <c r="BC795" s="2260"/>
      <c r="BD795" s="1648"/>
      <c r="BE795" s="1630"/>
      <c r="BF795" s="1630"/>
      <c r="BG795" s="1630"/>
      <c r="BH795" s="1630"/>
      <c r="BI795" s="1641">
        <v>0</v>
      </c>
    </row>
    <row customHeight="1" ht="14.25">
      <c r="A796" s="1369"/>
      <c r="B796" s="1369"/>
      <c r="C796" s="1369"/>
      <c r="D796" s="1369"/>
      <c r="E796" s="2265"/>
      <c r="F796" s="2265"/>
      <c r="G796" s="2265"/>
      <c r="H796" s="2265"/>
      <c r="I796" s="2292"/>
      <c r="J796" s="2292"/>
      <c r="K796" s="2262" t="str">
        <f>S450&amp;".12"</f>
        <v>3.1.1.12</v>
      </c>
      <c r="L796" s="1375"/>
      <c r="M796" s="1782"/>
      <c r="N796" s="1782"/>
      <c r="O796" s="1782"/>
      <c r="P796" s="2380"/>
      <c r="Q796" s="2380"/>
      <c r="R796" s="2353"/>
      <c r="S796" s="2348"/>
      <c r="T796" s="2367"/>
      <c r="U796" s="306"/>
      <c r="V796" s="7380"/>
      <c r="W796" s="7381"/>
      <c r="X796" s="7380"/>
      <c r="Y796" s="7381"/>
      <c r="Z796" s="7380"/>
      <c r="AA796" s="7380"/>
      <c r="AB796" s="7380"/>
      <c r="AC796" s="7380"/>
      <c r="AD796" s="2192"/>
      <c r="AE796" s="2332"/>
      <c r="AF796" s="2443"/>
      <c r="AG796" s="3339" t="s">
        <v>28</v>
      </c>
      <c r="AH796" s="2113"/>
      <c r="AI796" s="7408"/>
      <c r="AJ796" s="7409"/>
      <c r="AK796" s="7614" t="s">
        <v>517</v>
      </c>
      <c r="AL796" s="7380"/>
      <c r="AM796" s="7380"/>
      <c r="AN796" s="7380"/>
      <c r="AO796" s="7380"/>
      <c r="AP796" s="7380"/>
      <c r="AQ796" s="7380"/>
      <c r="AR796" s="7380"/>
      <c r="AS796" s="7380"/>
      <c r="AT796" s="7380"/>
      <c r="AU796" s="7381"/>
      <c r="AV796" s="7380"/>
      <c r="AW796" s="7381"/>
      <c r="AX796" s="7380"/>
      <c r="AY796" s="7380"/>
      <c r="AZ796" s="7380"/>
      <c r="BA796" s="7380"/>
      <c r="BB796" s="7385"/>
      <c r="BC796" s="2260"/>
      <c r="BD796" s="1648"/>
      <c r="BE796" s="1630"/>
      <c r="BF796" s="1630"/>
      <c r="BG796" s="1630"/>
      <c r="BH796" s="1630"/>
      <c r="BI796" s="1641">
        <v>0</v>
      </c>
    </row>
    <row customHeight="1" ht="14.25">
      <c r="A797" s="1369"/>
      <c r="B797" s="1369"/>
      <c r="C797" s="1369"/>
      <c r="D797" s="1369"/>
      <c r="E797" s="2265"/>
      <c r="F797" s="2265"/>
      <c r="G797" s="2265"/>
      <c r="H797" s="2265"/>
      <c r="I797" s="2292"/>
      <c r="J797" s="2292"/>
      <c r="K797" s="2262" t="str">
        <f>S450&amp;".12"</f>
        <v>3.1.1.12</v>
      </c>
      <c r="L797" s="1375"/>
      <c r="M797" s="1782"/>
      <c r="N797" s="1782"/>
      <c r="O797" s="1782"/>
      <c r="P797" s="2380"/>
      <c r="Q797" s="2380"/>
      <c r="R797" s="2353"/>
      <c r="S797" s="2349"/>
      <c r="T797" s="2368"/>
      <c r="U797" s="306"/>
      <c r="V797" s="7380"/>
      <c r="W797" s="7615" t="str">
        <f>Z774&amp;"-"&amp;AB774</f>
        <v>-</v>
      </c>
      <c r="X797" s="7380"/>
      <c r="Y797" s="7616" t="str">
        <f>AB774&amp;"-"&amp;AD774</f>
        <v>-нет</v>
      </c>
      <c r="Z797" s="7380"/>
      <c r="AA797" s="7380"/>
      <c r="AB797" s="7380"/>
      <c r="AC797" s="7380"/>
      <c r="AD797" s="2118"/>
      <c r="AE797" s="7413"/>
      <c r="AF797" s="7414"/>
      <c r="AG797" s="7617" t="s">
        <v>518</v>
      </c>
      <c r="AH797" s="7380"/>
      <c r="AI797" s="7380"/>
      <c r="AJ797" s="7380"/>
      <c r="AK797" s="7380"/>
      <c r="AL797" s="7380"/>
      <c r="AM797" s="7380"/>
      <c r="AN797" s="7380"/>
      <c r="AO797" s="7380"/>
      <c r="AP797" s="7380"/>
      <c r="AQ797" s="7380"/>
      <c r="AR797" s="7380"/>
      <c r="AS797" s="7380"/>
      <c r="AT797" s="7380"/>
      <c r="AU797" s="7618" t="str">
        <f>AX774&amp;"-"&amp;AZ774</f>
        <v>46023.38920138889-46387.40613425926</v>
      </c>
      <c r="AV797" s="7380"/>
      <c r="AW797" s="7619" t="str">
        <f>AZ774&amp;"-"&amp;BB774</f>
        <v>46387.40613425926-</v>
      </c>
      <c r="AX797" s="7380"/>
      <c r="AY797" s="7380"/>
      <c r="AZ797" s="7380"/>
      <c r="BA797" s="7380"/>
      <c r="BB797" s="7620" t="str">
        <f>BE774&amp;"-"&amp;BG774</f>
        <v>-</v>
      </c>
      <c r="BC797" s="2260"/>
      <c r="BD797" s="1648"/>
      <c r="BE797" s="1630"/>
      <c r="BF797" s="1630" t="str">
        <f>IF(T797="","",T797)</f>
        <v/>
      </c>
      <c r="BG797" s="1630"/>
      <c r="BH797" s="1630"/>
      <c r="BI797" s="1641">
        <v>0</v>
      </c>
    </row>
    <row customHeight="1" ht="14.25">
      <c r="A798" s="1369"/>
      <c r="B798" s="1369"/>
      <c r="C798" s="1369"/>
      <c r="D798" s="1369"/>
      <c r="E798" s="2265"/>
      <c r="F798" s="2265"/>
      <c r="G798" s="2265"/>
      <c r="H798" s="2265"/>
      <c r="I798" s="2292"/>
      <c r="J798" s="2292"/>
      <c r="K798" s="2262" t="str">
        <f>S450&amp;".14"</f>
        <v>3.1.1.14</v>
      </c>
      <c r="L798" s="1375"/>
      <c r="M798" s="1782"/>
      <c r="N798" s="1782"/>
      <c r="O798" s="1782"/>
      <c r="P798" s="2380"/>
      <c r="Q798" s="2380"/>
      <c r="R798" s="689" t="s">
        <v>253</v>
      </c>
      <c r="S798" s="2347" t="str">
        <f>$K798</f>
        <v>3.1.1.14</v>
      </c>
      <c r="T798" s="2366" t="s">
        <v>551</v>
      </c>
      <c r="U798" s="306"/>
      <c r="V798" s="757"/>
      <c r="W798" s="1263"/>
      <c r="X798" s="757"/>
      <c r="Y798" s="1263"/>
      <c r="Z798" s="2608"/>
      <c r="AA798" s="2113" t="s">
        <v>62</v>
      </c>
      <c r="AB798" s="2608"/>
      <c r="AC798" s="2113" t="s">
        <v>62</v>
      </c>
      <c r="AD798" s="2191" t="s">
        <v>19</v>
      </c>
      <c r="AE798" s="2332"/>
      <c r="AF798" s="2443">
        <v>1</v>
      </c>
      <c r="AG798" s="3339" t="s">
        <v>28</v>
      </c>
      <c r="AH798" s="2113" t="s">
        <v>62</v>
      </c>
      <c r="AI798" s="2332"/>
      <c r="AJ798" s="2443">
        <v>1</v>
      </c>
      <c r="AK798" s="2333" t="s">
        <v>532</v>
      </c>
      <c r="AL798" s="2113" t="s">
        <v>19</v>
      </c>
      <c r="AM798" s="2300"/>
      <c r="AN798" s="2443">
        <v>1</v>
      </c>
      <c r="AO798" s="3340" t="s">
        <v>28</v>
      </c>
      <c r="AP798" s="2364" t="s">
        <v>62</v>
      </c>
      <c r="AQ798" s="317"/>
      <c r="AR798" s="2443">
        <v>1</v>
      </c>
      <c r="AS798" s="2582" t="s">
        <v>541</v>
      </c>
      <c r="AT798" s="757"/>
      <c r="AU798" s="1263"/>
      <c r="AV798" s="757"/>
      <c r="AW798" s="1263">
        <v>5733.15</v>
      </c>
      <c r="AX798" s="2608">
        <v>46023.389560185184</v>
      </c>
      <c r="AY798" s="2113" t="s">
        <v>62</v>
      </c>
      <c r="AZ798" s="2608">
        <v>46387.410266203704</v>
      </c>
      <c r="BA798" s="2113" t="s">
        <v>62</v>
      </c>
      <c r="BB798" s="1354"/>
      <c r="BC798" s="2259" t="s">
        <v>514</v>
      </c>
      <c r="BD798" s="1648"/>
      <c r="BE798" s="1630"/>
      <c r="BF798" s="1630" t="str">
        <f>IF(T798="","",T798)</f>
        <v>Надземная прокладка трубопроводов водоснабжения в изоляции из пенополиуретана(ППУ),на низких опорах, диаметр труб: </v>
      </c>
      <c r="BG798" s="1630"/>
      <c r="BH798" s="1630"/>
      <c r="BI798" s="1641">
        <v>0</v>
      </c>
    </row>
    <row customHeight="1" ht="14.25">
      <c r="A799" s="1369"/>
      <c r="B799" s="1369"/>
      <c r="C799" s="1369"/>
      <c r="D799" s="1369"/>
      <c r="E799" s="2265"/>
      <c r="F799" s="2265"/>
      <c r="G799" s="2265"/>
      <c r="H799" s="2265"/>
      <c r="I799" s="2292"/>
      <c r="J799" s="2292"/>
      <c r="K799" s="2262" t="str">
        <f>S795&amp;".1"</f>
        <v>.1</v>
      </c>
      <c r="L799" s="1375"/>
      <c r="M799" s="1782"/>
      <c r="N799" s="1782"/>
      <c r="O799" s="1782"/>
      <c r="P799" s="2380"/>
      <c r="Q799" s="2380"/>
      <c r="R799" s="2353">
        <v>1</v>
      </c>
      <c r="S799" s="2347" t="str">
        <f>$K799</f>
        <v>.1</v>
      </c>
      <c r="T799" s="2366"/>
      <c r="U799" s="306"/>
      <c r="V799" s="757"/>
      <c r="W799" s="1263"/>
      <c r="X799" s="757"/>
      <c r="Y799" s="1263"/>
      <c r="Z799" s="2608"/>
      <c r="AA799" s="2113" t="s">
        <v>62</v>
      </c>
      <c r="AB799" s="2608"/>
      <c r="AC799" s="2113" t="s">
        <v>62</v>
      </c>
      <c r="AD799" s="2191" t="s">
        <v>62</v>
      </c>
      <c r="AE799" s="2332"/>
      <c r="AF799" s="2443">
        <v>1</v>
      </c>
      <c r="AG799" s="2369"/>
      <c r="AH799" s="2113" t="s">
        <v>62</v>
      </c>
      <c r="AI799" s="2332"/>
      <c r="AJ799" s="2443">
        <v>1</v>
      </c>
      <c r="AK799" s="2333" t="s">
        <v>28</v>
      </c>
      <c r="AL799" s="2113" t="s">
        <v>62</v>
      </c>
      <c r="AM799" s="2300"/>
      <c r="AN799" s="2443">
        <v>1</v>
      </c>
      <c r="AO799" s="2363"/>
      <c r="AP799" s="2364" t="s">
        <v>62</v>
      </c>
      <c r="AQ799" s="689" t="s">
        <v>253</v>
      </c>
      <c r="AR799" s="2443" t="s">
        <v>112</v>
      </c>
      <c r="AS799" s="2582" t="s">
        <v>541</v>
      </c>
      <c r="AT799" s="757"/>
      <c r="AU799" s="1263"/>
      <c r="AV799" s="757"/>
      <c r="AW799" s="1263">
        <v>7137.48</v>
      </c>
      <c r="AX799" s="2608">
        <v>46023.38960648148</v>
      </c>
      <c r="AY799" s="2113" t="s">
        <v>62</v>
      </c>
      <c r="AZ799" s="2608">
        <v>46387.41033564815</v>
      </c>
      <c r="BA799" s="2113" t="s">
        <v>62</v>
      </c>
      <c r="BB799" s="1354"/>
      <c r="BC799" s="2259" t="s">
        <v>514</v>
      </c>
      <c r="BD799" s="1648"/>
      <c r="BE799" s="1630"/>
      <c r="BF799" s="1630" t="str">
        <f>IF(T799="","",T799)</f>
        <v/>
      </c>
      <c r="BG799" s="1630"/>
      <c r="BH799" s="1630"/>
      <c r="BI799" s="1641">
        <v>0</v>
      </c>
    </row>
    <row customHeight="1" ht="14.25">
      <c r="A800" s="1369"/>
      <c r="B800" s="1369"/>
      <c r="C800" s="1369"/>
      <c r="D800" s="1369"/>
      <c r="E800" s="2265"/>
      <c r="F800" s="2265"/>
      <c r="G800" s="2265"/>
      <c r="H800" s="2265"/>
      <c r="I800" s="2292"/>
      <c r="J800" s="2292"/>
      <c r="K800" s="2262" t="str">
        <f>S450&amp;".13"</f>
        <v>3.1.1.13</v>
      </c>
      <c r="L800" s="1375"/>
      <c r="M800" s="1782"/>
      <c r="N800" s="1782"/>
      <c r="O800" s="1782"/>
      <c r="P800" s="2380"/>
      <c r="Q800" s="2380"/>
      <c r="R800" s="2353"/>
      <c r="S800" s="2348"/>
      <c r="T800" s="2367"/>
      <c r="U800" s="306"/>
      <c r="V800" s="7380"/>
      <c r="W800" s="7381"/>
      <c r="X800" s="7380"/>
      <c r="Y800" s="7381"/>
      <c r="Z800" s="7380"/>
      <c r="AA800" s="7380"/>
      <c r="AB800" s="7380"/>
      <c r="AC800" s="7380"/>
      <c r="AD800" s="2192"/>
      <c r="AE800" s="2332"/>
      <c r="AF800" s="2443"/>
      <c r="AG800" s="3339" t="s">
        <v>28</v>
      </c>
      <c r="AH800" s="2113"/>
      <c r="AI800" s="2332"/>
      <c r="AJ800" s="2443"/>
      <c r="AK800" s="2333"/>
      <c r="AL800" s="2113"/>
      <c r="AM800" s="2301"/>
      <c r="AN800" s="2443"/>
      <c r="AO800" s="3340" t="s">
        <v>28</v>
      </c>
      <c r="AP800" s="2365"/>
      <c r="AQ800" s="7382"/>
      <c r="AR800" s="7383"/>
      <c r="AS800" s="7621" t="s">
        <v>515</v>
      </c>
      <c r="AT800" s="7380"/>
      <c r="AU800" s="7381"/>
      <c r="AV800" s="7380"/>
      <c r="AW800" s="7381"/>
      <c r="AX800" s="7380"/>
      <c r="AY800" s="7380"/>
      <c r="AZ800" s="7380"/>
      <c r="BA800" s="7380"/>
      <c r="BB800" s="7385"/>
      <c r="BC800" s="2260"/>
      <c r="BD800" s="1648"/>
      <c r="BE800" s="1630"/>
      <c r="BF800" s="1630"/>
      <c r="BG800" s="1630"/>
      <c r="BH800" s="1630"/>
      <c r="BI800" s="1641">
        <v>0</v>
      </c>
    </row>
    <row customHeight="1" ht="14.25">
      <c r="A801" s="1369"/>
      <c r="B801" s="1369"/>
      <c r="C801" s="1369"/>
      <c r="D801" s="1369"/>
      <c r="E801" s="2265"/>
      <c r="F801" s="2265"/>
      <c r="G801" s="2265"/>
      <c r="H801" s="2265"/>
      <c r="I801" s="2292"/>
      <c r="J801" s="2292"/>
      <c r="K801" s="2262" t="str">
        <f>S450&amp;".13"</f>
        <v>3.1.1.13</v>
      </c>
      <c r="L801" s="1375"/>
      <c r="M801" s="1782"/>
      <c r="N801" s="1782"/>
      <c r="O801" s="1782"/>
      <c r="P801" s="2380"/>
      <c r="Q801" s="2380"/>
      <c r="R801" s="2353"/>
      <c r="S801" s="2348"/>
      <c r="T801" s="2367"/>
      <c r="U801" s="306"/>
      <c r="V801" s="7380"/>
      <c r="W801" s="7381"/>
      <c r="X801" s="7380"/>
      <c r="Y801" s="7381"/>
      <c r="Z801" s="7380"/>
      <c r="AA801" s="7380"/>
      <c r="AB801" s="7380"/>
      <c r="AC801" s="7380"/>
      <c r="AD801" s="2192"/>
      <c r="AE801" s="2332"/>
      <c r="AF801" s="2443"/>
      <c r="AG801" s="3339" t="s">
        <v>28</v>
      </c>
      <c r="AH801" s="2113"/>
      <c r="AI801" s="2332"/>
      <c r="AJ801" s="2443"/>
      <c r="AK801" s="2333"/>
      <c r="AL801" s="2113"/>
      <c r="AM801" s="7382"/>
      <c r="AN801" s="7386"/>
      <c r="AO801" s="7622" t="s">
        <v>516</v>
      </c>
      <c r="AP801" s="7383"/>
      <c r="AQ801" s="7383"/>
      <c r="AR801" s="7383"/>
      <c r="AS801" s="7380"/>
      <c r="AT801" s="7380"/>
      <c r="AU801" s="7381"/>
      <c r="AV801" s="7380"/>
      <c r="AW801" s="7381"/>
      <c r="AX801" s="7380"/>
      <c r="AY801" s="7380"/>
      <c r="AZ801" s="7380"/>
      <c r="BA801" s="7380"/>
      <c r="BB801" s="7385"/>
      <c r="BC801" s="2260"/>
      <c r="BD801" s="1648"/>
      <c r="BE801" s="1630"/>
      <c r="BF801" s="1630"/>
      <c r="BG801" s="1630"/>
      <c r="BH801" s="1630"/>
      <c r="BI801" s="1641">
        <v>0</v>
      </c>
    </row>
    <row customHeight="1" ht="14.25">
      <c r="A802" s="1369"/>
      <c r="B802" s="1369"/>
      <c r="C802" s="1369"/>
      <c r="D802" s="1369"/>
      <c r="E802" s="2265"/>
      <c r="F802" s="2265"/>
      <c r="G802" s="2265"/>
      <c r="H802" s="2265"/>
      <c r="I802" s="2292"/>
      <c r="J802" s="2292"/>
      <c r="K802" s="2262" t="str">
        <f>S797&amp;".1"</f>
        <v>.1</v>
      </c>
      <c r="L802" s="1375"/>
      <c r="M802" s="1782"/>
      <c r="N802" s="1782"/>
      <c r="O802" s="1782"/>
      <c r="P802" s="2380"/>
      <c r="Q802" s="2380"/>
      <c r="R802" s="2353">
        <v>1</v>
      </c>
      <c r="S802" s="2347" t="str">
        <f>$K802</f>
        <v>.1</v>
      </c>
      <c r="T802" s="2366"/>
      <c r="U802" s="306"/>
      <c r="V802" s="757"/>
      <c r="W802" s="1263"/>
      <c r="X802" s="757"/>
      <c r="Y802" s="1263"/>
      <c r="Z802" s="2608"/>
      <c r="AA802" s="2113" t="s">
        <v>62</v>
      </c>
      <c r="AB802" s="2608"/>
      <c r="AC802" s="2113" t="s">
        <v>62</v>
      </c>
      <c r="AD802" s="2191" t="s">
        <v>62</v>
      </c>
      <c r="AE802" s="2332"/>
      <c r="AF802" s="2443">
        <v>1</v>
      </c>
      <c r="AG802" s="2369"/>
      <c r="AH802" s="2113" t="s">
        <v>62</v>
      </c>
      <c r="AI802" s="689" t="s">
        <v>253</v>
      </c>
      <c r="AJ802" s="2443" t="s">
        <v>112</v>
      </c>
      <c r="AK802" s="2333" t="s">
        <v>533</v>
      </c>
      <c r="AL802" s="2113" t="s">
        <v>19</v>
      </c>
      <c r="AM802" s="2300"/>
      <c r="AN802" s="2443">
        <v>1</v>
      </c>
      <c r="AO802" s="3340" t="s">
        <v>28</v>
      </c>
      <c r="AP802" s="2364" t="s">
        <v>62</v>
      </c>
      <c r="AQ802" s="317"/>
      <c r="AR802" s="2443">
        <v>1</v>
      </c>
      <c r="AS802" s="2582" t="s">
        <v>541</v>
      </c>
      <c r="AT802" s="757"/>
      <c r="AU802" s="1263"/>
      <c r="AV802" s="757"/>
      <c r="AW802" s="1263">
        <v>7843.8</v>
      </c>
      <c r="AX802" s="2608">
        <v>46023.38962962963</v>
      </c>
      <c r="AY802" s="2113" t="s">
        <v>62</v>
      </c>
      <c r="AZ802" s="2608">
        <v>46387.4109375</v>
      </c>
      <c r="BA802" s="2113" t="s">
        <v>62</v>
      </c>
      <c r="BB802" s="1354"/>
      <c r="BC802" s="2259" t="s">
        <v>514</v>
      </c>
      <c r="BD802" s="1648"/>
      <c r="BE802" s="1630"/>
      <c r="BF802" s="1630" t="str">
        <f>IF(T802="","",T802)</f>
        <v/>
      </c>
      <c r="BG802" s="1630"/>
      <c r="BH802" s="1630"/>
      <c r="BI802" s="1641">
        <v>0</v>
      </c>
    </row>
    <row customHeight="1" ht="14.25">
      <c r="A803" s="1369"/>
      <c r="B803" s="1369"/>
      <c r="C803" s="1369"/>
      <c r="D803" s="1369"/>
      <c r="E803" s="2265"/>
      <c r="F803" s="2265"/>
      <c r="G803" s="2265"/>
      <c r="H803" s="2265"/>
      <c r="I803" s="2292"/>
      <c r="J803" s="2292"/>
      <c r="K803" s="2262" t="str">
        <f>S799&amp;".1"</f>
        <v>.1.1</v>
      </c>
      <c r="L803" s="1375"/>
      <c r="M803" s="1782"/>
      <c r="N803" s="1782"/>
      <c r="O803" s="1782"/>
      <c r="P803" s="2380"/>
      <c r="Q803" s="2380"/>
      <c r="R803" s="2353">
        <v>1</v>
      </c>
      <c r="S803" s="2347" t="str">
        <f>$K803</f>
        <v>.1.1</v>
      </c>
      <c r="T803" s="2366"/>
      <c r="U803" s="306"/>
      <c r="V803" s="757"/>
      <c r="W803" s="1263"/>
      <c r="X803" s="757"/>
      <c r="Y803" s="1263"/>
      <c r="Z803" s="2608"/>
      <c r="AA803" s="2113" t="s">
        <v>62</v>
      </c>
      <c r="AB803" s="2608"/>
      <c r="AC803" s="2113" t="s">
        <v>62</v>
      </c>
      <c r="AD803" s="2191" t="s">
        <v>62</v>
      </c>
      <c r="AE803" s="2332"/>
      <c r="AF803" s="2443">
        <v>1</v>
      </c>
      <c r="AG803" s="2369"/>
      <c r="AH803" s="2113" t="s">
        <v>62</v>
      </c>
      <c r="AI803" s="2332"/>
      <c r="AJ803" s="2443">
        <v>1</v>
      </c>
      <c r="AK803" s="2333" t="s">
        <v>28</v>
      </c>
      <c r="AL803" s="2113" t="s">
        <v>62</v>
      </c>
      <c r="AM803" s="2300"/>
      <c r="AN803" s="2443">
        <v>1</v>
      </c>
      <c r="AO803" s="2363"/>
      <c r="AP803" s="2364" t="s">
        <v>62</v>
      </c>
      <c r="AQ803" s="689" t="s">
        <v>253</v>
      </c>
      <c r="AR803" s="2443" t="s">
        <v>112</v>
      </c>
      <c r="AS803" s="2582" t="s">
        <v>541</v>
      </c>
      <c r="AT803" s="757"/>
      <c r="AU803" s="1263"/>
      <c r="AV803" s="757"/>
      <c r="AW803" s="1263">
        <v>9357.48</v>
      </c>
      <c r="AX803" s="2608">
        <v>46023.38966435185</v>
      </c>
      <c r="AY803" s="2113" t="s">
        <v>62</v>
      </c>
      <c r="AZ803" s="2608">
        <v>46387.41103009259</v>
      </c>
      <c r="BA803" s="2113" t="s">
        <v>62</v>
      </c>
      <c r="BB803" s="1354"/>
      <c r="BC803" s="2259" t="s">
        <v>514</v>
      </c>
      <c r="BD803" s="1648"/>
      <c r="BE803" s="1630"/>
      <c r="BF803" s="1630" t="str">
        <f>IF(T803="","",T803)</f>
        <v/>
      </c>
      <c r="BG803" s="1630"/>
      <c r="BH803" s="1630"/>
      <c r="BI803" s="1641">
        <v>0</v>
      </c>
    </row>
    <row customHeight="1" ht="14.25">
      <c r="A804" s="1369"/>
      <c r="B804" s="1369"/>
      <c r="C804" s="1369"/>
      <c r="D804" s="1369"/>
      <c r="E804" s="2265"/>
      <c r="F804" s="2265"/>
      <c r="G804" s="2265"/>
      <c r="H804" s="2265"/>
      <c r="I804" s="2292"/>
      <c r="J804" s="2292"/>
      <c r="K804" s="2262"/>
      <c r="L804" s="1375"/>
      <c r="M804" s="1782"/>
      <c r="N804" s="1782"/>
      <c r="O804" s="1782"/>
      <c r="P804" s="2380"/>
      <c r="Q804" s="2380"/>
      <c r="R804" s="2353"/>
      <c r="S804" s="2348"/>
      <c r="T804" s="2367"/>
      <c r="U804" s="306"/>
      <c r="V804" s="7380"/>
      <c r="W804" s="7381"/>
      <c r="X804" s="7380"/>
      <c r="Y804" s="7381"/>
      <c r="Z804" s="7380"/>
      <c r="AA804" s="7380"/>
      <c r="AB804" s="7380"/>
      <c r="AC804" s="7380"/>
      <c r="AD804" s="2192"/>
      <c r="AE804" s="2332"/>
      <c r="AF804" s="2443"/>
      <c r="AG804" s="2369"/>
      <c r="AH804" s="2113"/>
      <c r="AI804" s="2332"/>
      <c r="AJ804" s="2443">
        <v>1</v>
      </c>
      <c r="AK804" s="2333"/>
      <c r="AL804" s="2113"/>
      <c r="AM804" s="2301"/>
      <c r="AN804" s="2443"/>
      <c r="AO804" s="3340" t="s">
        <v>28</v>
      </c>
      <c r="AP804" s="2365"/>
      <c r="AQ804" s="7382"/>
      <c r="AR804" s="7383"/>
      <c r="AS804" s="7623" t="s">
        <v>515</v>
      </c>
      <c r="AT804" s="7380"/>
      <c r="AU804" s="7381"/>
      <c r="AV804" s="7380"/>
      <c r="AW804" s="7381"/>
      <c r="AX804" s="7380"/>
      <c r="AY804" s="7380"/>
      <c r="AZ804" s="7380"/>
      <c r="BA804" s="7380"/>
      <c r="BB804" s="7385"/>
      <c r="BC804" s="2260"/>
      <c r="BD804" s="1648"/>
      <c r="BE804" s="1630"/>
      <c r="BF804" s="1630"/>
      <c r="BG804" s="1630"/>
      <c r="BH804" s="1630"/>
      <c r="BI804" s="1641">
        <v>0</v>
      </c>
    </row>
    <row customHeight="1" ht="14.25">
      <c r="A805" s="1369"/>
      <c r="B805" s="1369"/>
      <c r="C805" s="1369"/>
      <c r="D805" s="1369"/>
      <c r="E805" s="2265"/>
      <c r="F805" s="2265"/>
      <c r="G805" s="2265"/>
      <c r="H805" s="2265"/>
      <c r="I805" s="2292"/>
      <c r="J805" s="2292"/>
      <c r="K805" s="2262"/>
      <c r="L805" s="1375"/>
      <c r="M805" s="1782"/>
      <c r="N805" s="1782"/>
      <c r="O805" s="1782"/>
      <c r="P805" s="2380"/>
      <c r="Q805" s="2380"/>
      <c r="R805" s="2353"/>
      <c r="S805" s="2348"/>
      <c r="T805" s="2367"/>
      <c r="U805" s="306"/>
      <c r="V805" s="7380"/>
      <c r="W805" s="7381"/>
      <c r="X805" s="7380"/>
      <c r="Y805" s="7381"/>
      <c r="Z805" s="7380"/>
      <c r="AA805" s="7380"/>
      <c r="AB805" s="7380"/>
      <c r="AC805" s="7380"/>
      <c r="AD805" s="2192"/>
      <c r="AE805" s="2332"/>
      <c r="AF805" s="2443"/>
      <c r="AG805" s="2369"/>
      <c r="AH805" s="2113"/>
      <c r="AI805" s="2332"/>
      <c r="AJ805" s="2443">
        <v>1</v>
      </c>
      <c r="AK805" s="2333"/>
      <c r="AL805" s="2113"/>
      <c r="AM805" s="7382"/>
      <c r="AN805" s="7386"/>
      <c r="AO805" s="7624" t="s">
        <v>516</v>
      </c>
      <c r="AP805" s="7383"/>
      <c r="AQ805" s="7383"/>
      <c r="AR805" s="7383"/>
      <c r="AS805" s="7380"/>
      <c r="AT805" s="7380"/>
      <c r="AU805" s="7381"/>
      <c r="AV805" s="7380"/>
      <c r="AW805" s="7381"/>
      <c r="AX805" s="7380"/>
      <c r="AY805" s="7380"/>
      <c r="AZ805" s="7380"/>
      <c r="BA805" s="7380"/>
      <c r="BB805" s="7385"/>
      <c r="BC805" s="2260"/>
      <c r="BD805" s="1648"/>
      <c r="BE805" s="1630"/>
      <c r="BF805" s="1630"/>
      <c r="BG805" s="1630"/>
      <c r="BH805" s="1630"/>
      <c r="BI805" s="1641">
        <v>0</v>
      </c>
    </row>
    <row customHeight="1" ht="14.25">
      <c r="A806" s="1369"/>
      <c r="B806" s="1369"/>
      <c r="C806" s="1369"/>
      <c r="D806" s="1369"/>
      <c r="E806" s="2265"/>
      <c r="F806" s="2265"/>
      <c r="G806" s="2265"/>
      <c r="H806" s="2265"/>
      <c r="I806" s="2292"/>
      <c r="J806" s="2292"/>
      <c r="K806" s="2262" t="str">
        <f>S801&amp;".1"</f>
        <v>.1</v>
      </c>
      <c r="L806" s="1375"/>
      <c r="M806" s="1782"/>
      <c r="N806" s="1782"/>
      <c r="O806" s="1782"/>
      <c r="P806" s="2380"/>
      <c r="Q806" s="2380"/>
      <c r="R806" s="2353">
        <v>1</v>
      </c>
      <c r="S806" s="2347" t="str">
        <f>$K806</f>
        <v>.1</v>
      </c>
      <c r="T806" s="2366"/>
      <c r="U806" s="306"/>
      <c r="V806" s="757"/>
      <c r="W806" s="1263"/>
      <c r="X806" s="757"/>
      <c r="Y806" s="1263"/>
      <c r="Z806" s="2608"/>
      <c r="AA806" s="2113" t="s">
        <v>62</v>
      </c>
      <c r="AB806" s="2608"/>
      <c r="AC806" s="2113" t="s">
        <v>62</v>
      </c>
      <c r="AD806" s="2191" t="s">
        <v>62</v>
      </c>
      <c r="AE806" s="2332"/>
      <c r="AF806" s="2443">
        <v>1</v>
      </c>
      <c r="AG806" s="2369"/>
      <c r="AH806" s="2113" t="s">
        <v>62</v>
      </c>
      <c r="AI806" s="689" t="s">
        <v>253</v>
      </c>
      <c r="AJ806" s="2443" t="s">
        <v>91</v>
      </c>
      <c r="AK806" s="2333" t="s">
        <v>534</v>
      </c>
      <c r="AL806" s="2113" t="s">
        <v>19</v>
      </c>
      <c r="AM806" s="2300"/>
      <c r="AN806" s="2443">
        <v>1</v>
      </c>
      <c r="AO806" s="3340" t="s">
        <v>28</v>
      </c>
      <c r="AP806" s="2364" t="s">
        <v>62</v>
      </c>
      <c r="AQ806" s="317"/>
      <c r="AR806" s="2443">
        <v>1</v>
      </c>
      <c r="AS806" s="2582" t="s">
        <v>541</v>
      </c>
      <c r="AT806" s="757"/>
      <c r="AU806" s="1263"/>
      <c r="AV806" s="757"/>
      <c r="AW806" s="1263">
        <v>10426</v>
      </c>
      <c r="AX806" s="2608">
        <v>46023.389699074076</v>
      </c>
      <c r="AY806" s="2113" t="s">
        <v>62</v>
      </c>
      <c r="AZ806" s="2608">
        <v>46387.41113425926</v>
      </c>
      <c r="BA806" s="2113" t="s">
        <v>62</v>
      </c>
      <c r="BB806" s="1354"/>
      <c r="BC806" s="2259" t="s">
        <v>514</v>
      </c>
      <c r="BD806" s="1648"/>
      <c r="BE806" s="1630"/>
      <c r="BF806" s="1630" t="str">
        <f>IF(T806="","",T806)</f>
        <v/>
      </c>
      <c r="BG806" s="1630"/>
      <c r="BH806" s="1630"/>
      <c r="BI806" s="1641">
        <v>0</v>
      </c>
    </row>
    <row customHeight="1" ht="14.25">
      <c r="A807" s="1369"/>
      <c r="B807" s="1369"/>
      <c r="C807" s="1369"/>
      <c r="D807" s="1369"/>
      <c r="E807" s="2265"/>
      <c r="F807" s="2265"/>
      <c r="G807" s="2265"/>
      <c r="H807" s="2265"/>
      <c r="I807" s="2292"/>
      <c r="J807" s="2292"/>
      <c r="K807" s="2262" t="str">
        <f>S803&amp;".1"</f>
        <v>.1.1.1</v>
      </c>
      <c r="L807" s="1375"/>
      <c r="M807" s="1782"/>
      <c r="N807" s="1782"/>
      <c r="O807" s="1782"/>
      <c r="P807" s="2380"/>
      <c r="Q807" s="2380"/>
      <c r="R807" s="2353">
        <v>1</v>
      </c>
      <c r="S807" s="2347" t="str">
        <f>$K807</f>
        <v>.1.1.1</v>
      </c>
      <c r="T807" s="2366"/>
      <c r="U807" s="306"/>
      <c r="V807" s="757"/>
      <c r="W807" s="1263"/>
      <c r="X807" s="757"/>
      <c r="Y807" s="1263"/>
      <c r="Z807" s="2608"/>
      <c r="AA807" s="2113" t="s">
        <v>62</v>
      </c>
      <c r="AB807" s="2608"/>
      <c r="AC807" s="2113" t="s">
        <v>62</v>
      </c>
      <c r="AD807" s="2191" t="s">
        <v>62</v>
      </c>
      <c r="AE807" s="2332"/>
      <c r="AF807" s="2443">
        <v>1</v>
      </c>
      <c r="AG807" s="2369"/>
      <c r="AH807" s="2113" t="s">
        <v>62</v>
      </c>
      <c r="AI807" s="2332"/>
      <c r="AJ807" s="2443">
        <v>1</v>
      </c>
      <c r="AK807" s="2333" t="s">
        <v>28</v>
      </c>
      <c r="AL807" s="2113" t="s">
        <v>62</v>
      </c>
      <c r="AM807" s="2300"/>
      <c r="AN807" s="2443">
        <v>1</v>
      </c>
      <c r="AO807" s="2363"/>
      <c r="AP807" s="2364" t="s">
        <v>62</v>
      </c>
      <c r="AQ807" s="689" t="s">
        <v>253</v>
      </c>
      <c r="AR807" s="2443" t="s">
        <v>112</v>
      </c>
      <c r="AS807" s="2582" t="s">
        <v>541</v>
      </c>
      <c r="AT807" s="757"/>
      <c r="AU807" s="1263"/>
      <c r="AV807" s="757"/>
      <c r="AW807" s="1263">
        <v>11055.73</v>
      </c>
      <c r="AX807" s="2608">
        <v>46023.3897337963</v>
      </c>
      <c r="AY807" s="2113" t="s">
        <v>62</v>
      </c>
      <c r="AZ807" s="2608">
        <v>46387.41122685185</v>
      </c>
      <c r="BA807" s="2113" t="s">
        <v>62</v>
      </c>
      <c r="BB807" s="1354"/>
      <c r="BC807" s="2259" t="s">
        <v>514</v>
      </c>
      <c r="BD807" s="1648"/>
      <c r="BE807" s="1630"/>
      <c r="BF807" s="1630" t="str">
        <f>IF(T807="","",T807)</f>
        <v/>
      </c>
      <c r="BG807" s="1630"/>
      <c r="BH807" s="1630"/>
      <c r="BI807" s="1641">
        <v>0</v>
      </c>
    </row>
    <row customHeight="1" ht="14.25">
      <c r="A808" s="1369"/>
      <c r="B808" s="1369"/>
      <c r="C808" s="1369"/>
      <c r="D808" s="1369"/>
      <c r="E808" s="2265"/>
      <c r="F808" s="2265"/>
      <c r="G808" s="2265"/>
      <c r="H808" s="2265"/>
      <c r="I808" s="2292"/>
      <c r="J808" s="2292"/>
      <c r="K808" s="2262"/>
      <c r="L808" s="1375"/>
      <c r="M808" s="1782"/>
      <c r="N808" s="1782"/>
      <c r="O808" s="1782"/>
      <c r="P808" s="2380"/>
      <c r="Q808" s="2380"/>
      <c r="R808" s="2353"/>
      <c r="S808" s="2348"/>
      <c r="T808" s="2367"/>
      <c r="U808" s="306"/>
      <c r="V808" s="7380"/>
      <c r="W808" s="7381"/>
      <c r="X808" s="7380"/>
      <c r="Y808" s="7381"/>
      <c r="Z808" s="7380"/>
      <c r="AA808" s="7380"/>
      <c r="AB808" s="7380"/>
      <c r="AC808" s="7380"/>
      <c r="AD808" s="2192"/>
      <c r="AE808" s="2332"/>
      <c r="AF808" s="2443"/>
      <c r="AG808" s="2369"/>
      <c r="AH808" s="2113"/>
      <c r="AI808" s="2332"/>
      <c r="AJ808" s="2443" t="s">
        <v>112</v>
      </c>
      <c r="AK808" s="2333"/>
      <c r="AL808" s="2113"/>
      <c r="AM808" s="2301"/>
      <c r="AN808" s="2443"/>
      <c r="AO808" s="3340" t="s">
        <v>28</v>
      </c>
      <c r="AP808" s="2365"/>
      <c r="AQ808" s="7382"/>
      <c r="AR808" s="7383"/>
      <c r="AS808" s="7625" t="s">
        <v>515</v>
      </c>
      <c r="AT808" s="7380"/>
      <c r="AU808" s="7381"/>
      <c r="AV808" s="7380"/>
      <c r="AW808" s="7381"/>
      <c r="AX808" s="7380"/>
      <c r="AY808" s="7380"/>
      <c r="AZ808" s="7380"/>
      <c r="BA808" s="7380"/>
      <c r="BB808" s="7385"/>
      <c r="BC808" s="2260"/>
      <c r="BD808" s="1648"/>
      <c r="BE808" s="1630"/>
      <c r="BF808" s="1630"/>
      <c r="BG808" s="1630"/>
      <c r="BH808" s="1630"/>
      <c r="BI808" s="1641">
        <v>0</v>
      </c>
    </row>
    <row customHeight="1" ht="14.25">
      <c r="A809" s="1369"/>
      <c r="B809" s="1369"/>
      <c r="C809" s="1369"/>
      <c r="D809" s="1369"/>
      <c r="E809" s="2265"/>
      <c r="F809" s="2265"/>
      <c r="G809" s="2265"/>
      <c r="H809" s="2265"/>
      <c r="I809" s="2292"/>
      <c r="J809" s="2292"/>
      <c r="K809" s="2262"/>
      <c r="L809" s="1375"/>
      <c r="M809" s="1782"/>
      <c r="N809" s="1782"/>
      <c r="O809" s="1782"/>
      <c r="P809" s="2380"/>
      <c r="Q809" s="2380"/>
      <c r="R809" s="2353"/>
      <c r="S809" s="2348"/>
      <c r="T809" s="2367"/>
      <c r="U809" s="306"/>
      <c r="V809" s="7380"/>
      <c r="W809" s="7381"/>
      <c r="X809" s="7380"/>
      <c r="Y809" s="7381"/>
      <c r="Z809" s="7380"/>
      <c r="AA809" s="7380"/>
      <c r="AB809" s="7380"/>
      <c r="AC809" s="7380"/>
      <c r="AD809" s="2192"/>
      <c r="AE809" s="2332"/>
      <c r="AF809" s="2443"/>
      <c r="AG809" s="2369"/>
      <c r="AH809" s="2113"/>
      <c r="AI809" s="2332"/>
      <c r="AJ809" s="2443" t="s">
        <v>112</v>
      </c>
      <c r="AK809" s="2333"/>
      <c r="AL809" s="2113"/>
      <c r="AM809" s="7382"/>
      <c r="AN809" s="7386"/>
      <c r="AO809" s="7626" t="s">
        <v>516</v>
      </c>
      <c r="AP809" s="7383"/>
      <c r="AQ809" s="7383"/>
      <c r="AR809" s="7383"/>
      <c r="AS809" s="7380"/>
      <c r="AT809" s="7380"/>
      <c r="AU809" s="7381"/>
      <c r="AV809" s="7380"/>
      <c r="AW809" s="7381"/>
      <c r="AX809" s="7380"/>
      <c r="AY809" s="7380"/>
      <c r="AZ809" s="7380"/>
      <c r="BA809" s="7380"/>
      <c r="BB809" s="7385"/>
      <c r="BC809" s="2260"/>
      <c r="BD809" s="1648"/>
      <c r="BE809" s="1630"/>
      <c r="BF809" s="1630"/>
      <c r="BG809" s="1630"/>
      <c r="BH809" s="1630"/>
      <c r="BI809" s="1641">
        <v>0</v>
      </c>
    </row>
    <row customHeight="1" ht="14.25">
      <c r="A810" s="1369"/>
      <c r="B810" s="1369"/>
      <c r="C810" s="1369"/>
      <c r="D810" s="1369"/>
      <c r="E810" s="2265"/>
      <c r="F810" s="2265"/>
      <c r="G810" s="2265"/>
      <c r="H810" s="2265"/>
      <c r="I810" s="2292"/>
      <c r="J810" s="2292"/>
      <c r="K810" s="2262" t="str">
        <f>S805&amp;".1"</f>
        <v>.1</v>
      </c>
      <c r="L810" s="1375"/>
      <c r="M810" s="1782"/>
      <c r="N810" s="1782"/>
      <c r="O810" s="1782"/>
      <c r="P810" s="2380"/>
      <c r="Q810" s="2380"/>
      <c r="R810" s="2353">
        <v>1</v>
      </c>
      <c r="S810" s="2347" t="str">
        <f>$K810</f>
        <v>.1</v>
      </c>
      <c r="T810" s="2366"/>
      <c r="U810" s="306"/>
      <c r="V810" s="757"/>
      <c r="W810" s="1263"/>
      <c r="X810" s="757"/>
      <c r="Y810" s="1263"/>
      <c r="Z810" s="2608"/>
      <c r="AA810" s="2113" t="s">
        <v>62</v>
      </c>
      <c r="AB810" s="2608"/>
      <c r="AC810" s="2113" t="s">
        <v>62</v>
      </c>
      <c r="AD810" s="2191" t="s">
        <v>62</v>
      </c>
      <c r="AE810" s="2332"/>
      <c r="AF810" s="2443">
        <v>1</v>
      </c>
      <c r="AG810" s="2369"/>
      <c r="AH810" s="2113" t="s">
        <v>62</v>
      </c>
      <c r="AI810" s="689" t="s">
        <v>253</v>
      </c>
      <c r="AJ810" s="2443" t="s">
        <v>92</v>
      </c>
      <c r="AK810" s="2333" t="s">
        <v>535</v>
      </c>
      <c r="AL810" s="2113" t="s">
        <v>19</v>
      </c>
      <c r="AM810" s="2300"/>
      <c r="AN810" s="2443">
        <v>1</v>
      </c>
      <c r="AO810" s="3340" t="s">
        <v>28</v>
      </c>
      <c r="AP810" s="2364" t="s">
        <v>62</v>
      </c>
      <c r="AQ810" s="317"/>
      <c r="AR810" s="2443">
        <v>1</v>
      </c>
      <c r="AS810" s="2582" t="s">
        <v>541</v>
      </c>
      <c r="AT810" s="757"/>
      <c r="AU810" s="1263"/>
      <c r="AV810" s="757"/>
      <c r="AW810" s="1263">
        <v>13404.51</v>
      </c>
      <c r="AX810" s="2608">
        <v>46023.38976851852</v>
      </c>
      <c r="AY810" s="2113" t="s">
        <v>62</v>
      </c>
      <c r="AZ810" s="2608">
        <v>46387.411307870374</v>
      </c>
      <c r="BA810" s="2113" t="s">
        <v>62</v>
      </c>
      <c r="BB810" s="1354"/>
      <c r="BC810" s="2259" t="s">
        <v>514</v>
      </c>
      <c r="BD810" s="1648"/>
      <c r="BE810" s="1630"/>
      <c r="BF810" s="1630" t="str">
        <f>IF(T810="","",T810)</f>
        <v/>
      </c>
      <c r="BG810" s="1630"/>
      <c r="BH810" s="1630"/>
      <c r="BI810" s="1641">
        <v>0</v>
      </c>
    </row>
    <row customHeight="1" ht="14.25">
      <c r="A811" s="1369"/>
      <c r="B811" s="1369"/>
      <c r="C811" s="1369"/>
      <c r="D811" s="1369"/>
      <c r="E811" s="2265"/>
      <c r="F811" s="2265"/>
      <c r="G811" s="2265"/>
      <c r="H811" s="2265"/>
      <c r="I811" s="2292"/>
      <c r="J811" s="2292"/>
      <c r="K811" s="2262" t="str">
        <f>S807&amp;".1"</f>
        <v>.1.1.1.1</v>
      </c>
      <c r="L811" s="1375"/>
      <c r="M811" s="1782"/>
      <c r="N811" s="1782"/>
      <c r="O811" s="1782"/>
      <c r="P811" s="2380"/>
      <c r="Q811" s="2380"/>
      <c r="R811" s="2353">
        <v>1</v>
      </c>
      <c r="S811" s="2347" t="str">
        <f>$K811</f>
        <v>.1.1.1.1</v>
      </c>
      <c r="T811" s="2366"/>
      <c r="U811" s="306"/>
      <c r="V811" s="757"/>
      <c r="W811" s="1263"/>
      <c r="X811" s="757"/>
      <c r="Y811" s="1263"/>
      <c r="Z811" s="2608"/>
      <c r="AA811" s="2113" t="s">
        <v>62</v>
      </c>
      <c r="AB811" s="2608"/>
      <c r="AC811" s="2113" t="s">
        <v>62</v>
      </c>
      <c r="AD811" s="2191" t="s">
        <v>62</v>
      </c>
      <c r="AE811" s="2332"/>
      <c r="AF811" s="2443">
        <v>1</v>
      </c>
      <c r="AG811" s="2369"/>
      <c r="AH811" s="2113" t="s">
        <v>62</v>
      </c>
      <c r="AI811" s="2332"/>
      <c r="AJ811" s="2443">
        <v>1</v>
      </c>
      <c r="AK811" s="2333" t="s">
        <v>28</v>
      </c>
      <c r="AL811" s="2113" t="s">
        <v>62</v>
      </c>
      <c r="AM811" s="2300"/>
      <c r="AN811" s="2443">
        <v>1</v>
      </c>
      <c r="AO811" s="2363"/>
      <c r="AP811" s="2364" t="s">
        <v>62</v>
      </c>
      <c r="AQ811" s="689" t="s">
        <v>253</v>
      </c>
      <c r="AR811" s="2443" t="s">
        <v>112</v>
      </c>
      <c r="AS811" s="2582" t="s">
        <v>541</v>
      </c>
      <c r="AT811" s="757"/>
      <c r="AU811" s="1263"/>
      <c r="AV811" s="757"/>
      <c r="AW811" s="1263">
        <v>15674.86</v>
      </c>
      <c r="AX811" s="2608">
        <v>46023.38983796296</v>
      </c>
      <c r="AY811" s="2113" t="s">
        <v>62</v>
      </c>
      <c r="AZ811" s="2608">
        <v>46387.41138888889</v>
      </c>
      <c r="BA811" s="2113" t="s">
        <v>62</v>
      </c>
      <c r="BB811" s="1354"/>
      <c r="BC811" s="2259" t="s">
        <v>514</v>
      </c>
      <c r="BD811" s="1648"/>
      <c r="BE811" s="1630"/>
      <c r="BF811" s="1630" t="str">
        <f>IF(T811="","",T811)</f>
        <v/>
      </c>
      <c r="BG811" s="1630"/>
      <c r="BH811" s="1630"/>
      <c r="BI811" s="1641">
        <v>0</v>
      </c>
    </row>
    <row customHeight="1" ht="14.25">
      <c r="A812" s="1369"/>
      <c r="B812" s="1369"/>
      <c r="C812" s="1369"/>
      <c r="D812" s="1369"/>
      <c r="E812" s="2265"/>
      <c r="F812" s="2265"/>
      <c r="G812" s="2265"/>
      <c r="H812" s="2265"/>
      <c r="I812" s="2292"/>
      <c r="J812" s="2292"/>
      <c r="K812" s="2262"/>
      <c r="L812" s="1375"/>
      <c r="M812" s="1782"/>
      <c r="N812" s="1782"/>
      <c r="O812" s="1782"/>
      <c r="P812" s="2380"/>
      <c r="Q812" s="2380"/>
      <c r="R812" s="2353"/>
      <c r="S812" s="2348"/>
      <c r="T812" s="2367"/>
      <c r="U812" s="306"/>
      <c r="V812" s="7380"/>
      <c r="W812" s="7381"/>
      <c r="X812" s="7380"/>
      <c r="Y812" s="7381"/>
      <c r="Z812" s="7380"/>
      <c r="AA812" s="7380"/>
      <c r="AB812" s="7380"/>
      <c r="AC812" s="7380"/>
      <c r="AD812" s="2192"/>
      <c r="AE812" s="2332"/>
      <c r="AF812" s="2443"/>
      <c r="AG812" s="2369"/>
      <c r="AH812" s="2113"/>
      <c r="AI812" s="2332"/>
      <c r="AJ812" s="2443" t="s">
        <v>91</v>
      </c>
      <c r="AK812" s="2333"/>
      <c r="AL812" s="2113"/>
      <c r="AM812" s="2301"/>
      <c r="AN812" s="2443"/>
      <c r="AO812" s="3340" t="s">
        <v>28</v>
      </c>
      <c r="AP812" s="2365"/>
      <c r="AQ812" s="7382"/>
      <c r="AR812" s="7383"/>
      <c r="AS812" s="7627" t="s">
        <v>515</v>
      </c>
      <c r="AT812" s="7380"/>
      <c r="AU812" s="7381"/>
      <c r="AV812" s="7380"/>
      <c r="AW812" s="7381"/>
      <c r="AX812" s="7380"/>
      <c r="AY812" s="7380"/>
      <c r="AZ812" s="7380"/>
      <c r="BA812" s="7380"/>
      <c r="BB812" s="7385"/>
      <c r="BC812" s="2260"/>
      <c r="BD812" s="1648"/>
      <c r="BE812" s="1630"/>
      <c r="BF812" s="1630"/>
      <c r="BG812" s="1630"/>
      <c r="BH812" s="1630"/>
      <c r="BI812" s="1641">
        <v>0</v>
      </c>
    </row>
    <row customHeight="1" ht="14.25">
      <c r="A813" s="1369"/>
      <c r="B813" s="1369"/>
      <c r="C813" s="1369"/>
      <c r="D813" s="1369"/>
      <c r="E813" s="2265"/>
      <c r="F813" s="2265"/>
      <c r="G813" s="2265"/>
      <c r="H813" s="2265"/>
      <c r="I813" s="2292"/>
      <c r="J813" s="2292"/>
      <c r="K813" s="2262"/>
      <c r="L813" s="1375"/>
      <c r="M813" s="1782"/>
      <c r="N813" s="1782"/>
      <c r="O813" s="1782"/>
      <c r="P813" s="2380"/>
      <c r="Q813" s="2380"/>
      <c r="R813" s="2353"/>
      <c r="S813" s="2348"/>
      <c r="T813" s="2367"/>
      <c r="U813" s="306"/>
      <c r="V813" s="7380"/>
      <c r="W813" s="7381"/>
      <c r="X813" s="7380"/>
      <c r="Y813" s="7381"/>
      <c r="Z813" s="7380"/>
      <c r="AA813" s="7380"/>
      <c r="AB813" s="7380"/>
      <c r="AC813" s="7380"/>
      <c r="AD813" s="2192"/>
      <c r="AE813" s="2332"/>
      <c r="AF813" s="2443"/>
      <c r="AG813" s="2369"/>
      <c r="AH813" s="2113"/>
      <c r="AI813" s="2332"/>
      <c r="AJ813" s="2443" t="s">
        <v>91</v>
      </c>
      <c r="AK813" s="2333"/>
      <c r="AL813" s="2113"/>
      <c r="AM813" s="7382"/>
      <c r="AN813" s="7386"/>
      <c r="AO813" s="7628" t="s">
        <v>516</v>
      </c>
      <c r="AP813" s="7383"/>
      <c r="AQ813" s="7383"/>
      <c r="AR813" s="7383"/>
      <c r="AS813" s="7380"/>
      <c r="AT813" s="7380"/>
      <c r="AU813" s="7381"/>
      <c r="AV813" s="7380"/>
      <c r="AW813" s="7381"/>
      <c r="AX813" s="7380"/>
      <c r="AY813" s="7380"/>
      <c r="AZ813" s="7380"/>
      <c r="BA813" s="7380"/>
      <c r="BB813" s="7385"/>
      <c r="BC813" s="2260"/>
      <c r="BD813" s="1648"/>
      <c r="BE813" s="1630"/>
      <c r="BF813" s="1630"/>
      <c r="BG813" s="1630"/>
      <c r="BH813" s="1630"/>
      <c r="BI813" s="1641">
        <v>0</v>
      </c>
    </row>
    <row customHeight="1" ht="14.25">
      <c r="A814" s="1369"/>
      <c r="B814" s="1369"/>
      <c r="C814" s="1369"/>
      <c r="D814" s="1369"/>
      <c r="E814" s="2265"/>
      <c r="F814" s="2265"/>
      <c r="G814" s="2265"/>
      <c r="H814" s="2265"/>
      <c r="I814" s="2292"/>
      <c r="J814" s="2292"/>
      <c r="K814" s="2262" t="str">
        <f>S809&amp;".1"</f>
        <v>.1</v>
      </c>
      <c r="L814" s="1375"/>
      <c r="M814" s="1782"/>
      <c r="N814" s="1782"/>
      <c r="O814" s="1782"/>
      <c r="P814" s="2380"/>
      <c r="Q814" s="2380"/>
      <c r="R814" s="2353">
        <v>1</v>
      </c>
      <c r="S814" s="2347" t="str">
        <f>$K814</f>
        <v>.1</v>
      </c>
      <c r="T814" s="2366"/>
      <c r="U814" s="306"/>
      <c r="V814" s="757"/>
      <c r="W814" s="1263"/>
      <c r="X814" s="757"/>
      <c r="Y814" s="1263"/>
      <c r="Z814" s="2608"/>
      <c r="AA814" s="2113" t="s">
        <v>62</v>
      </c>
      <c r="AB814" s="2608"/>
      <c r="AC814" s="2113" t="s">
        <v>62</v>
      </c>
      <c r="AD814" s="2191" t="s">
        <v>62</v>
      </c>
      <c r="AE814" s="2332"/>
      <c r="AF814" s="2443">
        <v>1</v>
      </c>
      <c r="AG814" s="2369"/>
      <c r="AH814" s="2113" t="s">
        <v>62</v>
      </c>
      <c r="AI814" s="689" t="s">
        <v>253</v>
      </c>
      <c r="AJ814" s="2443" t="s">
        <v>113</v>
      </c>
      <c r="AK814" s="2333" t="s">
        <v>536</v>
      </c>
      <c r="AL814" s="2113" t="s">
        <v>19</v>
      </c>
      <c r="AM814" s="2300"/>
      <c r="AN814" s="2443">
        <v>1</v>
      </c>
      <c r="AO814" s="3340" t="s">
        <v>28</v>
      </c>
      <c r="AP814" s="2364" t="s">
        <v>62</v>
      </c>
      <c r="AQ814" s="317"/>
      <c r="AR814" s="2443">
        <v>1</v>
      </c>
      <c r="AS814" s="2582" t="s">
        <v>541</v>
      </c>
      <c r="AT814" s="757"/>
      <c r="AU814" s="1263"/>
      <c r="AV814" s="757"/>
      <c r="AW814" s="1263">
        <v>20083.65</v>
      </c>
      <c r="AX814" s="2608">
        <v>46023.389872685184</v>
      </c>
      <c r="AY814" s="2113" t="s">
        <v>62</v>
      </c>
      <c r="AZ814" s="2608">
        <v>46387.411458333336</v>
      </c>
      <c r="BA814" s="2113" t="s">
        <v>62</v>
      </c>
      <c r="BB814" s="1354"/>
      <c r="BC814" s="2259" t="s">
        <v>514</v>
      </c>
      <c r="BD814" s="1648"/>
      <c r="BE814" s="1630"/>
      <c r="BF814" s="1630" t="str">
        <f>IF(T814="","",T814)</f>
        <v/>
      </c>
      <c r="BG814" s="1630"/>
      <c r="BH814" s="1630"/>
      <c r="BI814" s="1641">
        <v>0</v>
      </c>
    </row>
    <row customHeight="1" ht="14.25">
      <c r="A815" s="1369"/>
      <c r="B815" s="1369"/>
      <c r="C815" s="1369"/>
      <c r="D815" s="1369"/>
      <c r="E815" s="2265"/>
      <c r="F815" s="2265"/>
      <c r="G815" s="2265"/>
      <c r="H815" s="2265"/>
      <c r="I815" s="2292"/>
      <c r="J815" s="2292"/>
      <c r="K815" s="2262"/>
      <c r="L815" s="1375"/>
      <c r="M815" s="1782"/>
      <c r="N815" s="1782"/>
      <c r="O815" s="1782"/>
      <c r="P815" s="2380"/>
      <c r="Q815" s="2380"/>
      <c r="R815" s="2353"/>
      <c r="S815" s="2348"/>
      <c r="T815" s="2367"/>
      <c r="U815" s="306"/>
      <c r="V815" s="7380"/>
      <c r="W815" s="7381"/>
      <c r="X815" s="7380"/>
      <c r="Y815" s="7381"/>
      <c r="Z815" s="7380"/>
      <c r="AA815" s="7380"/>
      <c r="AB815" s="7380"/>
      <c r="AC815" s="7380"/>
      <c r="AD815" s="2192"/>
      <c r="AE815" s="2332"/>
      <c r="AF815" s="2443"/>
      <c r="AG815" s="2369"/>
      <c r="AH815" s="2113"/>
      <c r="AI815" s="2332"/>
      <c r="AJ815" s="2443" t="s">
        <v>92</v>
      </c>
      <c r="AK815" s="2333"/>
      <c r="AL815" s="2113"/>
      <c r="AM815" s="2301"/>
      <c r="AN815" s="2443"/>
      <c r="AO815" s="3340" t="s">
        <v>28</v>
      </c>
      <c r="AP815" s="2365"/>
      <c r="AQ815" s="7382"/>
      <c r="AR815" s="7383"/>
      <c r="AS815" s="7629" t="s">
        <v>515</v>
      </c>
      <c r="AT815" s="7380"/>
      <c r="AU815" s="7381"/>
      <c r="AV815" s="7380"/>
      <c r="AW815" s="7381"/>
      <c r="AX815" s="7380"/>
      <c r="AY815" s="7380"/>
      <c r="AZ815" s="7380"/>
      <c r="BA815" s="7380"/>
      <c r="BB815" s="7385"/>
      <c r="BC815" s="2260"/>
      <c r="BD815" s="1648"/>
      <c r="BE815" s="1630"/>
      <c r="BF815" s="1630"/>
      <c r="BG815" s="1630"/>
      <c r="BH815" s="1630"/>
      <c r="BI815" s="1641">
        <v>0</v>
      </c>
    </row>
    <row customHeight="1" ht="14.25">
      <c r="A816" s="1369"/>
      <c r="B816" s="1369"/>
      <c r="C816" s="1369"/>
      <c r="D816" s="1369"/>
      <c r="E816" s="2265"/>
      <c r="F816" s="2265"/>
      <c r="G816" s="2265"/>
      <c r="H816" s="2265"/>
      <c r="I816" s="2292"/>
      <c r="J816" s="2292"/>
      <c r="K816" s="2262"/>
      <c r="L816" s="1375"/>
      <c r="M816" s="1782"/>
      <c r="N816" s="1782"/>
      <c r="O816" s="1782"/>
      <c r="P816" s="2380"/>
      <c r="Q816" s="2380"/>
      <c r="R816" s="2353"/>
      <c r="S816" s="2348"/>
      <c r="T816" s="2367"/>
      <c r="U816" s="306"/>
      <c r="V816" s="7380"/>
      <c r="W816" s="7381"/>
      <c r="X816" s="7380"/>
      <c r="Y816" s="7381"/>
      <c r="Z816" s="7380"/>
      <c r="AA816" s="7380"/>
      <c r="AB816" s="7380"/>
      <c r="AC816" s="7380"/>
      <c r="AD816" s="2192"/>
      <c r="AE816" s="2332"/>
      <c r="AF816" s="2443"/>
      <c r="AG816" s="2369"/>
      <c r="AH816" s="2113"/>
      <c r="AI816" s="2332"/>
      <c r="AJ816" s="2443" t="s">
        <v>92</v>
      </c>
      <c r="AK816" s="2333"/>
      <c r="AL816" s="2113"/>
      <c r="AM816" s="7382"/>
      <c r="AN816" s="7386"/>
      <c r="AO816" s="7630" t="s">
        <v>516</v>
      </c>
      <c r="AP816" s="7383"/>
      <c r="AQ816" s="7383"/>
      <c r="AR816" s="7383"/>
      <c r="AS816" s="7380"/>
      <c r="AT816" s="7380"/>
      <c r="AU816" s="7381"/>
      <c r="AV816" s="7380"/>
      <c r="AW816" s="7381"/>
      <c r="AX816" s="7380"/>
      <c r="AY816" s="7380"/>
      <c r="AZ816" s="7380"/>
      <c r="BA816" s="7380"/>
      <c r="BB816" s="7385"/>
      <c r="BC816" s="2260"/>
      <c r="BD816" s="1648"/>
      <c r="BE816" s="1630"/>
      <c r="BF816" s="1630"/>
      <c r="BG816" s="1630"/>
      <c r="BH816" s="1630"/>
      <c r="BI816" s="1641">
        <v>0</v>
      </c>
    </row>
    <row customHeight="1" ht="14.25">
      <c r="A817" s="1369"/>
      <c r="B817" s="1369"/>
      <c r="C817" s="1369"/>
      <c r="D817" s="1369"/>
      <c r="E817" s="2265"/>
      <c r="F817" s="2265"/>
      <c r="G817" s="2265"/>
      <c r="H817" s="2265"/>
      <c r="I817" s="2292"/>
      <c r="J817" s="2292"/>
      <c r="K817" s="2262" t="str">
        <f>S813&amp;".1"</f>
        <v>.1</v>
      </c>
      <c r="L817" s="1375"/>
      <c r="M817" s="1782"/>
      <c r="N817" s="1782"/>
      <c r="O817" s="1782"/>
      <c r="P817" s="2380"/>
      <c r="Q817" s="2380"/>
      <c r="R817" s="2353">
        <v>1</v>
      </c>
      <c r="S817" s="2347" t="str">
        <f>$K817</f>
        <v>.1</v>
      </c>
      <c r="T817" s="2366"/>
      <c r="U817" s="306"/>
      <c r="V817" s="757"/>
      <c r="W817" s="1263"/>
      <c r="X817" s="757"/>
      <c r="Y817" s="1263"/>
      <c r="Z817" s="2608"/>
      <c r="AA817" s="2113" t="s">
        <v>62</v>
      </c>
      <c r="AB817" s="2608"/>
      <c r="AC817" s="2113" t="s">
        <v>62</v>
      </c>
      <c r="AD817" s="2191" t="s">
        <v>62</v>
      </c>
      <c r="AE817" s="2332"/>
      <c r="AF817" s="2443">
        <v>1</v>
      </c>
      <c r="AG817" s="2369"/>
      <c r="AH817" s="2113" t="s">
        <v>62</v>
      </c>
      <c r="AI817" s="689" t="s">
        <v>253</v>
      </c>
      <c r="AJ817" s="2443" t="s">
        <v>93</v>
      </c>
      <c r="AK817" s="2333" t="s">
        <v>537</v>
      </c>
      <c r="AL817" s="2113" t="s">
        <v>19</v>
      </c>
      <c r="AM817" s="2300"/>
      <c r="AN817" s="2443">
        <v>1</v>
      </c>
      <c r="AO817" s="3340" t="s">
        <v>28</v>
      </c>
      <c r="AP817" s="2364" t="s">
        <v>62</v>
      </c>
      <c r="AQ817" s="317"/>
      <c r="AR817" s="2443">
        <v>1</v>
      </c>
      <c r="AS817" s="2582" t="s">
        <v>541</v>
      </c>
      <c r="AT817" s="757"/>
      <c r="AU817" s="1263"/>
      <c r="AV817" s="757"/>
      <c r="AW817" s="1263">
        <v>24315.83</v>
      </c>
      <c r="AX817" s="2608">
        <v>46023.389918981484</v>
      </c>
      <c r="AY817" s="2113" t="s">
        <v>62</v>
      </c>
      <c r="AZ817" s="2608">
        <v>46387.411574074074</v>
      </c>
      <c r="BA817" s="2113" t="s">
        <v>62</v>
      </c>
      <c r="BB817" s="1354"/>
      <c r="BC817" s="2259" t="s">
        <v>514</v>
      </c>
      <c r="BD817" s="1648"/>
      <c r="BE817" s="1630"/>
      <c r="BF817" s="1630" t="str">
        <f>IF(T817="","",T817)</f>
        <v/>
      </c>
      <c r="BG817" s="1630"/>
      <c r="BH817" s="1630"/>
      <c r="BI817" s="1641">
        <v>0</v>
      </c>
    </row>
    <row customHeight="1" ht="14.25">
      <c r="A818" s="1369"/>
      <c r="B818" s="1369"/>
      <c r="C818" s="1369"/>
      <c r="D818" s="1369"/>
      <c r="E818" s="2265"/>
      <c r="F818" s="2265"/>
      <c r="G818" s="2265"/>
      <c r="H818" s="2265"/>
      <c r="I818" s="2292"/>
      <c r="J818" s="2292"/>
      <c r="K818" s="2262"/>
      <c r="L818" s="1375"/>
      <c r="M818" s="1782"/>
      <c r="N818" s="1782"/>
      <c r="O818" s="1782"/>
      <c r="P818" s="2380"/>
      <c r="Q818" s="2380"/>
      <c r="R818" s="2353"/>
      <c r="S818" s="2348"/>
      <c r="T818" s="2367"/>
      <c r="U818" s="306"/>
      <c r="V818" s="7380"/>
      <c r="W818" s="7381"/>
      <c r="X818" s="7380"/>
      <c r="Y818" s="7381"/>
      <c r="Z818" s="7380"/>
      <c r="AA818" s="7380"/>
      <c r="AB818" s="7380"/>
      <c r="AC818" s="7380"/>
      <c r="AD818" s="2192"/>
      <c r="AE818" s="2332"/>
      <c r="AF818" s="2443"/>
      <c r="AG818" s="2369"/>
      <c r="AH818" s="2113"/>
      <c r="AI818" s="2332"/>
      <c r="AJ818" s="2443" t="s">
        <v>113</v>
      </c>
      <c r="AK818" s="2333"/>
      <c r="AL818" s="2113"/>
      <c r="AM818" s="2301"/>
      <c r="AN818" s="2443"/>
      <c r="AO818" s="3340" t="s">
        <v>28</v>
      </c>
      <c r="AP818" s="2365"/>
      <c r="AQ818" s="7382"/>
      <c r="AR818" s="7383"/>
      <c r="AS818" s="7631" t="s">
        <v>515</v>
      </c>
      <c r="AT818" s="7380"/>
      <c r="AU818" s="7381"/>
      <c r="AV818" s="7380"/>
      <c r="AW818" s="7381"/>
      <c r="AX818" s="7380"/>
      <c r="AY818" s="7380"/>
      <c r="AZ818" s="7380"/>
      <c r="BA818" s="7380"/>
      <c r="BB818" s="7385"/>
      <c r="BC818" s="2260"/>
      <c r="BD818" s="1648"/>
      <c r="BE818" s="1630"/>
      <c r="BF818" s="1630"/>
      <c r="BG818" s="1630"/>
      <c r="BH818" s="1630"/>
      <c r="BI818" s="1641">
        <v>0</v>
      </c>
    </row>
    <row customHeight="1" ht="14.25">
      <c r="A819" s="1369"/>
      <c r="B819" s="1369"/>
      <c r="C819" s="1369"/>
      <c r="D819" s="1369"/>
      <c r="E819" s="2265"/>
      <c r="F819" s="2265"/>
      <c r="G819" s="2265"/>
      <c r="H819" s="2265"/>
      <c r="I819" s="2292"/>
      <c r="J819" s="2292"/>
      <c r="K819" s="2262"/>
      <c r="L819" s="1375"/>
      <c r="M819" s="1782"/>
      <c r="N819" s="1782"/>
      <c r="O819" s="1782"/>
      <c r="P819" s="2380"/>
      <c r="Q819" s="2380"/>
      <c r="R819" s="2353"/>
      <c r="S819" s="2348"/>
      <c r="T819" s="2367"/>
      <c r="U819" s="306"/>
      <c r="V819" s="7380"/>
      <c r="W819" s="7381"/>
      <c r="X819" s="7380"/>
      <c r="Y819" s="7381"/>
      <c r="Z819" s="7380"/>
      <c r="AA819" s="7380"/>
      <c r="AB819" s="7380"/>
      <c r="AC819" s="7380"/>
      <c r="AD819" s="2192"/>
      <c r="AE819" s="2332"/>
      <c r="AF819" s="2443"/>
      <c r="AG819" s="2369"/>
      <c r="AH819" s="2113"/>
      <c r="AI819" s="2332"/>
      <c r="AJ819" s="2443" t="s">
        <v>113</v>
      </c>
      <c r="AK819" s="2333"/>
      <c r="AL819" s="2113"/>
      <c r="AM819" s="7382"/>
      <c r="AN819" s="7386"/>
      <c r="AO819" s="7632" t="s">
        <v>516</v>
      </c>
      <c r="AP819" s="7383"/>
      <c r="AQ819" s="7383"/>
      <c r="AR819" s="7383"/>
      <c r="AS819" s="7380"/>
      <c r="AT819" s="7380"/>
      <c r="AU819" s="7381"/>
      <c r="AV819" s="7380"/>
      <c r="AW819" s="7381"/>
      <c r="AX819" s="7380"/>
      <c r="AY819" s="7380"/>
      <c r="AZ819" s="7380"/>
      <c r="BA819" s="7380"/>
      <c r="BB819" s="7385"/>
      <c r="BC819" s="2260"/>
      <c r="BD819" s="1648"/>
      <c r="BE819" s="1630"/>
      <c r="BF819" s="1630"/>
      <c r="BG819" s="1630"/>
      <c r="BH819" s="1630"/>
      <c r="BI819" s="1641">
        <v>0</v>
      </c>
    </row>
    <row customHeight="1" ht="14.25">
      <c r="A820" s="1369"/>
      <c r="B820" s="1369"/>
      <c r="C820" s="1369"/>
      <c r="D820" s="1369"/>
      <c r="E820" s="2265"/>
      <c r="F820" s="2265"/>
      <c r="G820" s="2265"/>
      <c r="H820" s="2265"/>
      <c r="I820" s="2292"/>
      <c r="J820" s="2292"/>
      <c r="K820" s="2262" t="str">
        <f>S450&amp;".13"</f>
        <v>3.1.1.13</v>
      </c>
      <c r="L820" s="1375"/>
      <c r="M820" s="1782"/>
      <c r="N820" s="1782"/>
      <c r="O820" s="1782"/>
      <c r="P820" s="2380"/>
      <c r="Q820" s="2380"/>
      <c r="R820" s="2353"/>
      <c r="S820" s="2348"/>
      <c r="T820" s="2367"/>
      <c r="U820" s="306"/>
      <c r="V820" s="7380"/>
      <c r="W820" s="7381"/>
      <c r="X820" s="7380"/>
      <c r="Y820" s="7381"/>
      <c r="Z820" s="7380"/>
      <c r="AA820" s="7380"/>
      <c r="AB820" s="7380"/>
      <c r="AC820" s="7380"/>
      <c r="AD820" s="2192"/>
      <c r="AE820" s="2332"/>
      <c r="AF820" s="2443"/>
      <c r="AG820" s="3339" t="s">
        <v>28</v>
      </c>
      <c r="AH820" s="2113"/>
      <c r="AI820" s="7408"/>
      <c r="AJ820" s="7409"/>
      <c r="AK820" s="7633" t="s">
        <v>517</v>
      </c>
      <c r="AL820" s="7380"/>
      <c r="AM820" s="7380"/>
      <c r="AN820" s="7380"/>
      <c r="AO820" s="7380"/>
      <c r="AP820" s="7380"/>
      <c r="AQ820" s="7380"/>
      <c r="AR820" s="7380"/>
      <c r="AS820" s="7380"/>
      <c r="AT820" s="7380"/>
      <c r="AU820" s="7381"/>
      <c r="AV820" s="7380"/>
      <c r="AW820" s="7381"/>
      <c r="AX820" s="7380"/>
      <c r="AY820" s="7380"/>
      <c r="AZ820" s="7380"/>
      <c r="BA820" s="7380"/>
      <c r="BB820" s="7385"/>
      <c r="BC820" s="2260"/>
      <c r="BD820" s="1648"/>
      <c r="BE820" s="1630"/>
      <c r="BF820" s="1630"/>
      <c r="BG820" s="1630"/>
      <c r="BH820" s="1630"/>
      <c r="BI820" s="1641">
        <v>0</v>
      </c>
    </row>
    <row customHeight="1" ht="14.25">
      <c r="A821" s="1369"/>
      <c r="B821" s="1369"/>
      <c r="C821" s="1369"/>
      <c r="D821" s="1369"/>
      <c r="E821" s="2265"/>
      <c r="F821" s="2265"/>
      <c r="G821" s="2265"/>
      <c r="H821" s="2265"/>
      <c r="I821" s="2292"/>
      <c r="J821" s="2292"/>
      <c r="K821" s="2262" t="str">
        <f>S450&amp;".13"</f>
        <v>3.1.1.13</v>
      </c>
      <c r="L821" s="1375"/>
      <c r="M821" s="1782"/>
      <c r="N821" s="1782"/>
      <c r="O821" s="1782"/>
      <c r="P821" s="2380"/>
      <c r="Q821" s="2380"/>
      <c r="R821" s="2353"/>
      <c r="S821" s="2349"/>
      <c r="T821" s="2368"/>
      <c r="U821" s="306"/>
      <c r="V821" s="7380"/>
      <c r="W821" s="7634" t="str">
        <f>Z798&amp;"-"&amp;AB798</f>
        <v>-</v>
      </c>
      <c r="X821" s="7380"/>
      <c r="Y821" s="7635" t="str">
        <f>AB798&amp;"-"&amp;AD798</f>
        <v>-нет</v>
      </c>
      <c r="Z821" s="7380"/>
      <c r="AA821" s="7380"/>
      <c r="AB821" s="7380"/>
      <c r="AC821" s="7380"/>
      <c r="AD821" s="2118"/>
      <c r="AE821" s="7413"/>
      <c r="AF821" s="7414"/>
      <c r="AG821" s="7636" t="s">
        <v>518</v>
      </c>
      <c r="AH821" s="7380"/>
      <c r="AI821" s="7380"/>
      <c r="AJ821" s="7380"/>
      <c r="AK821" s="7380"/>
      <c r="AL821" s="7380"/>
      <c r="AM821" s="7380"/>
      <c r="AN821" s="7380"/>
      <c r="AO821" s="7380"/>
      <c r="AP821" s="7380"/>
      <c r="AQ821" s="7380"/>
      <c r="AR821" s="7380"/>
      <c r="AS821" s="7380"/>
      <c r="AT821" s="7380"/>
      <c r="AU821" s="7637" t="str">
        <f>AX798&amp;"-"&amp;AZ798</f>
        <v>46023.389560185184-46387.410266203704</v>
      </c>
      <c r="AV821" s="7380"/>
      <c r="AW821" s="7638" t="str">
        <f>AZ798&amp;"-"&amp;BB798</f>
        <v>46387.410266203704-</v>
      </c>
      <c r="AX821" s="7380"/>
      <c r="AY821" s="7380"/>
      <c r="AZ821" s="7380"/>
      <c r="BA821" s="7380"/>
      <c r="BB821" s="7639" t="str">
        <f>BE798&amp;"-"&amp;BG798</f>
        <v>-</v>
      </c>
      <c r="BC821" s="2260"/>
      <c r="BD821" s="1648"/>
      <c r="BE821" s="1630"/>
      <c r="BF821" s="1630" t="str">
        <f>IF(T821="","",T821)</f>
        <v/>
      </c>
      <c r="BG821" s="1630"/>
      <c r="BH821" s="1630"/>
      <c r="BI821" s="1641">
        <v>0</v>
      </c>
    </row>
    <row customHeight="1" ht="14.25">
      <c r="A822" s="1369"/>
      <c r="B822" s="1369"/>
      <c r="C822" s="1369"/>
      <c r="D822" s="1369"/>
      <c r="E822" s="2265"/>
      <c r="F822" s="2265"/>
      <c r="G822" s="2265"/>
      <c r="H822" s="2265"/>
      <c r="I822" s="2292"/>
      <c r="J822" s="2292"/>
      <c r="K822" s="2262" t="str">
        <f>S450&amp;".15"</f>
        <v>3.1.1.15</v>
      </c>
      <c r="L822" s="1375"/>
      <c r="M822" s="1782"/>
      <c r="N822" s="1782"/>
      <c r="O822" s="1782"/>
      <c r="P822" s="2380"/>
      <c r="Q822" s="2380"/>
      <c r="R822" s="689" t="s">
        <v>253</v>
      </c>
      <c r="S822" s="2347" t="str">
        <f>$K822</f>
        <v>3.1.1.15</v>
      </c>
      <c r="T822" s="2366" t="s">
        <v>552</v>
      </c>
      <c r="U822" s="306"/>
      <c r="V822" s="757"/>
      <c r="W822" s="1263"/>
      <c r="X822" s="757"/>
      <c r="Y822" s="1263"/>
      <c r="Z822" s="2608"/>
      <c r="AA822" s="2113" t="s">
        <v>62</v>
      </c>
      <c r="AB822" s="2608"/>
      <c r="AC822" s="2113" t="s">
        <v>62</v>
      </c>
      <c r="AD822" s="2191" t="s">
        <v>19</v>
      </c>
      <c r="AE822" s="2332"/>
      <c r="AF822" s="2443">
        <v>1</v>
      </c>
      <c r="AG822" s="3339" t="s">
        <v>28</v>
      </c>
      <c r="AH822" s="2113" t="s">
        <v>62</v>
      </c>
      <c r="AI822" s="2332"/>
      <c r="AJ822" s="2443">
        <v>1</v>
      </c>
      <c r="AK822" s="2333" t="s">
        <v>535</v>
      </c>
      <c r="AL822" s="2113" t="s">
        <v>19</v>
      </c>
      <c r="AM822" s="2300"/>
      <c r="AN822" s="2443">
        <v>1</v>
      </c>
      <c r="AO822" s="3340" t="s">
        <v>28</v>
      </c>
      <c r="AP822" s="2364" t="s">
        <v>62</v>
      </c>
      <c r="AQ822" s="317"/>
      <c r="AR822" s="2443">
        <v>1</v>
      </c>
      <c r="AS822" s="2582" t="s">
        <v>541</v>
      </c>
      <c r="AT822" s="757"/>
      <c r="AU822" s="1263"/>
      <c r="AV822" s="757"/>
      <c r="AW822" s="1263">
        <v>16902.77</v>
      </c>
      <c r="AX822" s="2608">
        <v>46023.38995370371</v>
      </c>
      <c r="AY822" s="2113" t="s">
        <v>62</v>
      </c>
      <c r="AZ822" s="2608">
        <v>46387.41164351852</v>
      </c>
      <c r="BA822" s="2113" t="s">
        <v>62</v>
      </c>
      <c r="BB822" s="1354"/>
      <c r="BC822" s="2259" t="s">
        <v>514</v>
      </c>
      <c r="BD822" s="1648"/>
      <c r="BE822" s="1630"/>
      <c r="BF822" s="1630" t="str">
        <f>IF(T822="","",T822)</f>
        <v>Бесканальная прокладка трубопроводов водоснабжения Изопрофлекс АРТИК-У, диаметр труб:</v>
      </c>
      <c r="BG822" s="1630"/>
      <c r="BH822" s="1630"/>
      <c r="BI822" s="1641">
        <v>0</v>
      </c>
    </row>
    <row customHeight="1" ht="14.25">
      <c r="A823" s="1369"/>
      <c r="B823" s="1369"/>
      <c r="C823" s="1369"/>
      <c r="D823" s="1369"/>
      <c r="E823" s="2265"/>
      <c r="F823" s="2265"/>
      <c r="G823" s="2265"/>
      <c r="H823" s="2265"/>
      <c r="I823" s="2292"/>
      <c r="J823" s="2292"/>
      <c r="K823" s="2262" t="str">
        <f>S450&amp;".14"</f>
        <v>3.1.1.14</v>
      </c>
      <c r="L823" s="1375"/>
      <c r="M823" s="1782"/>
      <c r="N823" s="1782"/>
      <c r="O823" s="1782"/>
      <c r="P823" s="2380"/>
      <c r="Q823" s="2380"/>
      <c r="R823" s="2353"/>
      <c r="S823" s="2348"/>
      <c r="T823" s="2367"/>
      <c r="U823" s="306"/>
      <c r="V823" s="7380"/>
      <c r="W823" s="7381"/>
      <c r="X823" s="7380"/>
      <c r="Y823" s="7381"/>
      <c r="Z823" s="7380"/>
      <c r="AA823" s="7380"/>
      <c r="AB823" s="7380"/>
      <c r="AC823" s="7380"/>
      <c r="AD823" s="2192"/>
      <c r="AE823" s="2332"/>
      <c r="AF823" s="2443"/>
      <c r="AG823" s="3339" t="s">
        <v>28</v>
      </c>
      <c r="AH823" s="2113"/>
      <c r="AI823" s="2332"/>
      <c r="AJ823" s="2443"/>
      <c r="AK823" s="2333"/>
      <c r="AL823" s="2113"/>
      <c r="AM823" s="2301"/>
      <c r="AN823" s="2443"/>
      <c r="AO823" s="3340" t="s">
        <v>28</v>
      </c>
      <c r="AP823" s="2365"/>
      <c r="AQ823" s="7382"/>
      <c r="AR823" s="7383"/>
      <c r="AS823" s="7640" t="s">
        <v>515</v>
      </c>
      <c r="AT823" s="7380"/>
      <c r="AU823" s="7381"/>
      <c r="AV823" s="7380"/>
      <c r="AW823" s="7381"/>
      <c r="AX823" s="7380"/>
      <c r="AY823" s="7380"/>
      <c r="AZ823" s="7380"/>
      <c r="BA823" s="7380"/>
      <c r="BB823" s="7385"/>
      <c r="BC823" s="2260"/>
      <c r="BD823" s="1648"/>
      <c r="BE823" s="1630"/>
      <c r="BF823" s="1630"/>
      <c r="BG823" s="1630"/>
      <c r="BH823" s="1630"/>
      <c r="BI823" s="1641">
        <v>0</v>
      </c>
    </row>
    <row customHeight="1" ht="14.25">
      <c r="A824" s="1369"/>
      <c r="B824" s="1369"/>
      <c r="C824" s="1369"/>
      <c r="D824" s="1369"/>
      <c r="E824" s="2265"/>
      <c r="F824" s="2265"/>
      <c r="G824" s="2265"/>
      <c r="H824" s="2265"/>
      <c r="I824" s="2292"/>
      <c r="J824" s="2292"/>
      <c r="K824" s="2262" t="str">
        <f>S450&amp;".14"</f>
        <v>3.1.1.14</v>
      </c>
      <c r="L824" s="1375"/>
      <c r="M824" s="1782"/>
      <c r="N824" s="1782"/>
      <c r="O824" s="1782"/>
      <c r="P824" s="2380"/>
      <c r="Q824" s="2380"/>
      <c r="R824" s="2353"/>
      <c r="S824" s="2348"/>
      <c r="T824" s="2367"/>
      <c r="U824" s="306"/>
      <c r="V824" s="7380"/>
      <c r="W824" s="7381"/>
      <c r="X824" s="7380"/>
      <c r="Y824" s="7381"/>
      <c r="Z824" s="7380"/>
      <c r="AA824" s="7380"/>
      <c r="AB824" s="7380"/>
      <c r="AC824" s="7380"/>
      <c r="AD824" s="2192"/>
      <c r="AE824" s="2332"/>
      <c r="AF824" s="2443"/>
      <c r="AG824" s="3339" t="s">
        <v>28</v>
      </c>
      <c r="AH824" s="2113"/>
      <c r="AI824" s="2332"/>
      <c r="AJ824" s="2443"/>
      <c r="AK824" s="2333"/>
      <c r="AL824" s="2113"/>
      <c r="AM824" s="7382"/>
      <c r="AN824" s="7386"/>
      <c r="AO824" s="7641" t="s">
        <v>516</v>
      </c>
      <c r="AP824" s="7383"/>
      <c r="AQ824" s="7383"/>
      <c r="AR824" s="7383"/>
      <c r="AS824" s="7380"/>
      <c r="AT824" s="7380"/>
      <c r="AU824" s="7381"/>
      <c r="AV824" s="7380"/>
      <c r="AW824" s="7381"/>
      <c r="AX824" s="7380"/>
      <c r="AY824" s="7380"/>
      <c r="AZ824" s="7380"/>
      <c r="BA824" s="7380"/>
      <c r="BB824" s="7385"/>
      <c r="BC824" s="2260"/>
      <c r="BD824" s="1648"/>
      <c r="BE824" s="1630"/>
      <c r="BF824" s="1630"/>
      <c r="BG824" s="1630"/>
      <c r="BH824" s="1630"/>
      <c r="BI824" s="1641">
        <v>0</v>
      </c>
    </row>
    <row customHeight="1" ht="14.25">
      <c r="A825" s="1369"/>
      <c r="B825" s="1369"/>
      <c r="C825" s="1369"/>
      <c r="D825" s="1369"/>
      <c r="E825" s="2265"/>
      <c r="F825" s="2265"/>
      <c r="G825" s="2265"/>
      <c r="H825" s="2265"/>
      <c r="I825" s="2292"/>
      <c r="J825" s="2292"/>
      <c r="K825" s="2262" t="str">
        <f>S450&amp;".14"</f>
        <v>3.1.1.14</v>
      </c>
      <c r="L825" s="1375"/>
      <c r="M825" s="1782"/>
      <c r="N825" s="1782"/>
      <c r="O825" s="1782"/>
      <c r="P825" s="2380"/>
      <c r="Q825" s="2380"/>
      <c r="R825" s="2353"/>
      <c r="S825" s="2348"/>
      <c r="T825" s="2367"/>
      <c r="U825" s="306"/>
      <c r="V825" s="7380"/>
      <c r="W825" s="7381"/>
      <c r="X825" s="7380"/>
      <c r="Y825" s="7381"/>
      <c r="Z825" s="7380"/>
      <c r="AA825" s="7380"/>
      <c r="AB825" s="7380"/>
      <c r="AC825" s="7380"/>
      <c r="AD825" s="2192"/>
      <c r="AE825" s="2332"/>
      <c r="AF825" s="2443"/>
      <c r="AG825" s="3339" t="s">
        <v>28</v>
      </c>
      <c r="AH825" s="2113"/>
      <c r="AI825" s="7408"/>
      <c r="AJ825" s="7409"/>
      <c r="AK825" s="7642" t="s">
        <v>517</v>
      </c>
      <c r="AL825" s="7380"/>
      <c r="AM825" s="7380"/>
      <c r="AN825" s="7380"/>
      <c r="AO825" s="7380"/>
      <c r="AP825" s="7380"/>
      <c r="AQ825" s="7380"/>
      <c r="AR825" s="7380"/>
      <c r="AS825" s="7380"/>
      <c r="AT825" s="7380"/>
      <c r="AU825" s="7381"/>
      <c r="AV825" s="7380"/>
      <c r="AW825" s="7381"/>
      <c r="AX825" s="7380"/>
      <c r="AY825" s="7380"/>
      <c r="AZ825" s="7380"/>
      <c r="BA825" s="7380"/>
      <c r="BB825" s="7385"/>
      <c r="BC825" s="2260"/>
      <c r="BD825" s="1648"/>
      <c r="BE825" s="1630"/>
      <c r="BF825" s="1630"/>
      <c r="BG825" s="1630"/>
      <c r="BH825" s="1630"/>
      <c r="BI825" s="1641">
        <v>0</v>
      </c>
    </row>
    <row customHeight="1" ht="14.25">
      <c r="A826" s="1369"/>
      <c r="B826" s="1369"/>
      <c r="C826" s="1369"/>
      <c r="D826" s="1369"/>
      <c r="E826" s="2265"/>
      <c r="F826" s="2265"/>
      <c r="G826" s="2265"/>
      <c r="H826" s="2265"/>
      <c r="I826" s="2292"/>
      <c r="J826" s="2292"/>
      <c r="K826" s="2262" t="str">
        <f>S450&amp;".14"</f>
        <v>3.1.1.14</v>
      </c>
      <c r="L826" s="1375"/>
      <c r="M826" s="1782"/>
      <c r="N826" s="1782"/>
      <c r="O826" s="1782"/>
      <c r="P826" s="2380"/>
      <c r="Q826" s="2380"/>
      <c r="R826" s="2353"/>
      <c r="S826" s="2349"/>
      <c r="T826" s="2368"/>
      <c r="U826" s="306"/>
      <c r="V826" s="7380"/>
      <c r="W826" s="7643" t="str">
        <f>Z822&amp;"-"&amp;AB822</f>
        <v>-</v>
      </c>
      <c r="X826" s="7380"/>
      <c r="Y826" s="7644" t="str">
        <f>AB822&amp;"-"&amp;AD822</f>
        <v>-нет</v>
      </c>
      <c r="Z826" s="7380"/>
      <c r="AA826" s="7380"/>
      <c r="AB826" s="7380"/>
      <c r="AC826" s="7380"/>
      <c r="AD826" s="2118"/>
      <c r="AE826" s="7413"/>
      <c r="AF826" s="7414"/>
      <c r="AG826" s="7645" t="s">
        <v>518</v>
      </c>
      <c r="AH826" s="7380"/>
      <c r="AI826" s="7380"/>
      <c r="AJ826" s="7380"/>
      <c r="AK826" s="7380"/>
      <c r="AL826" s="7380"/>
      <c r="AM826" s="7380"/>
      <c r="AN826" s="7380"/>
      <c r="AO826" s="7380"/>
      <c r="AP826" s="7380"/>
      <c r="AQ826" s="7380"/>
      <c r="AR826" s="7380"/>
      <c r="AS826" s="7380"/>
      <c r="AT826" s="7380"/>
      <c r="AU826" s="7646" t="str">
        <f>AX822&amp;"-"&amp;AZ822</f>
        <v>46023.38995370371-46387.41164351852</v>
      </c>
      <c r="AV826" s="7380"/>
      <c r="AW826" s="7647" t="str">
        <f>AZ822&amp;"-"&amp;BB822</f>
        <v>46387.41164351852-</v>
      </c>
      <c r="AX826" s="7380"/>
      <c r="AY826" s="7380"/>
      <c r="AZ826" s="7380"/>
      <c r="BA826" s="7380"/>
      <c r="BB826" s="7648" t="str">
        <f>BE822&amp;"-"&amp;BG822</f>
        <v>-</v>
      </c>
      <c r="BC826" s="2260"/>
      <c r="BD826" s="1648"/>
      <c r="BE826" s="1630"/>
      <c r="BF826" s="1630" t="str">
        <f>IF(T826="","",T826)</f>
        <v/>
      </c>
      <c r="BG826" s="1630"/>
      <c r="BH826" s="1630"/>
      <c r="BI826" s="1641">
        <v>0</v>
      </c>
    </row>
    <row s="1856" customFormat="1" customHeight="1" ht="11.25">
      <c r="A827" s="1369"/>
      <c r="B827" s="1369"/>
      <c r="C827" s="1369"/>
      <c r="D827" s="1369"/>
      <c r="E827" s="2265" t="s">
        <v>112</v>
      </c>
      <c r="F827" s="2265"/>
      <c r="G827" s="2265"/>
      <c r="H827" s="2265"/>
      <c r="I827" s="2292"/>
      <c r="J827" s="2262"/>
      <c r="K827" s="1369"/>
      <c r="L827" s="1375"/>
      <c r="M827" s="1782"/>
      <c r="N827" s="1782"/>
      <c r="O827" s="1782"/>
      <c r="P827" s="2380"/>
      <c r="Q827" s="2380"/>
      <c r="R827" s="362"/>
      <c r="S827" s="3032"/>
      <c r="T827" s="3033" t="s">
        <v>481</v>
      </c>
      <c r="U827" s="3034"/>
      <c r="V827" s="3035"/>
      <c r="W827" s="3036"/>
      <c r="X827" s="3037"/>
      <c r="Y827" s="3038"/>
      <c r="Z827" s="3039"/>
      <c r="AA827" s="3040"/>
      <c r="AB827" s="3041"/>
      <c r="AC827" s="3042"/>
      <c r="AD827" s="3043"/>
      <c r="AE827" s="3044"/>
      <c r="AF827" s="3045"/>
      <c r="AG827" s="3046"/>
      <c r="AH827" s="3047"/>
      <c r="AI827" s="3048"/>
      <c r="AJ827" s="3049"/>
      <c r="AK827" s="3050"/>
      <c r="AL827" s="3051"/>
      <c r="AM827" s="3052"/>
      <c r="AN827" s="3053"/>
      <c r="AO827" s="3054"/>
      <c r="AP827" s="3055"/>
      <c r="AQ827" s="3056"/>
      <c r="AR827" s="3057"/>
      <c r="AS827" s="3058"/>
      <c r="AT827" s="3059"/>
      <c r="AU827" s="3060"/>
      <c r="AV827" s="3061"/>
      <c r="AW827" s="3062"/>
      <c r="AX827" s="3063"/>
      <c r="AY827" s="3064"/>
      <c r="AZ827" s="3065"/>
      <c r="BA827" s="3066"/>
      <c r="BB827" s="3067"/>
      <c r="BC827" s="2261"/>
      <c r="BD827" s="1648"/>
      <c r="BE827" s="1630"/>
      <c r="BF827" s="1630" t="str">
        <f>IF(T827="","",T827)</f>
        <v>Добавить строку</v>
      </c>
      <c r="BG827" s="1630"/>
      <c r="BH827" s="1630"/>
      <c r="BI827" s="1641">
        <v>0</v>
      </c>
    </row>
    <row s="628" customFormat="1" customHeight="1" ht="14.25">
      <c r="A828" s="1349"/>
      <c r="B828" s="1349"/>
      <c r="C828" s="1349"/>
      <c r="D828" s="1349"/>
      <c r="E828" s="2265" t="s">
        <v>112</v>
      </c>
      <c r="F828" s="2265"/>
      <c r="G828" s="2265"/>
      <c r="H828" s="2265"/>
      <c r="I828" s="2262"/>
      <c r="J828" s="1349"/>
      <c r="K828" s="1349"/>
      <c r="L828" s="1551"/>
      <c r="M828" s="516"/>
      <c r="N828" s="516"/>
      <c r="O828" s="516"/>
      <c r="P828" s="2380"/>
      <c r="Q828" s="2380"/>
      <c r="R828" s="362"/>
      <c r="S828" s="1392"/>
      <c r="T828" s="1393"/>
      <c r="U828" s="1394"/>
      <c r="V828" s="1394"/>
      <c r="W828" s="1394"/>
      <c r="X828" s="1394"/>
      <c r="Y828" s="1394"/>
      <c r="Z828" s="1394"/>
      <c r="AA828" s="1394"/>
      <c r="AB828" s="1394"/>
      <c r="AC828" s="1394"/>
      <c r="AD828" s="1394"/>
      <c r="AE828" s="1394"/>
      <c r="AF828" s="1394"/>
      <c r="AG828" s="1394"/>
      <c r="AH828" s="1394"/>
      <c r="AI828" s="1394"/>
      <c r="AJ828" s="1394"/>
      <c r="AK828" s="1394"/>
      <c r="AL828" s="1394"/>
      <c r="AM828" s="1394"/>
      <c r="AN828" s="1394"/>
      <c r="AO828" s="1394"/>
      <c r="AP828" s="1394"/>
      <c r="AQ828" s="1394"/>
      <c r="AR828" s="1394"/>
      <c r="AS828" s="1394"/>
      <c r="AT828" s="1394"/>
      <c r="AU828" s="1394"/>
      <c r="AV828" s="1394"/>
      <c r="AW828" s="1394"/>
      <c r="AX828" s="1394"/>
      <c r="AY828" s="1394"/>
      <c r="AZ828" s="1394"/>
      <c r="BA828" s="1394"/>
      <c r="BB828" s="1394"/>
      <c r="BC828" s="1395"/>
      <c r="BD828" s="1648"/>
      <c r="BE828" s="1630"/>
      <c r="BF828" s="1630" t="str">
        <f>IF(T828="","",T828)</f>
        <v/>
      </c>
      <c r="BG828" s="1630"/>
      <c r="BH828" s="1630"/>
      <c r="BI828" s="1648">
        <v>0</v>
      </c>
    </row>
    <row s="628" customFormat="1" customHeight="1" ht="14.25">
      <c r="A829" s="1349"/>
      <c r="B829" s="1349"/>
      <c r="C829" s="1349"/>
      <c r="D829" s="1349"/>
      <c r="E829" s="2265" t="s">
        <v>112</v>
      </c>
      <c r="F829" s="2265"/>
      <c r="G829" s="2265"/>
      <c r="H829" s="2264"/>
      <c r="I829" s="1349"/>
      <c r="J829" s="1349"/>
      <c r="K829" s="1349"/>
      <c r="L829" s="1551"/>
      <c r="M829" s="1321"/>
      <c r="N829" s="1321"/>
      <c r="O829" s="1648"/>
      <c r="P829" s="1322"/>
      <c r="Q829" s="1350"/>
      <c r="R829" s="1407"/>
      <c r="S829" s="1392"/>
      <c r="T829" s="1393"/>
      <c r="U829" s="1394"/>
      <c r="V829" s="1394"/>
      <c r="W829" s="1394"/>
      <c r="X829" s="1394"/>
      <c r="Y829" s="1394"/>
      <c r="Z829" s="1394"/>
      <c r="AA829" s="1394"/>
      <c r="AB829" s="1394"/>
      <c r="AC829" s="1394"/>
      <c r="AD829" s="1394"/>
      <c r="AE829" s="1394"/>
      <c r="AF829" s="1394"/>
      <c r="AG829" s="1394"/>
      <c r="AH829" s="1394"/>
      <c r="AI829" s="1394"/>
      <c r="AJ829" s="1394"/>
      <c r="AK829" s="1394"/>
      <c r="AL829" s="1394"/>
      <c r="AM829" s="1394"/>
      <c r="AN829" s="1394"/>
      <c r="AO829" s="1394"/>
      <c r="AP829" s="1394"/>
      <c r="AQ829" s="1394"/>
      <c r="AR829" s="1394"/>
      <c r="AS829" s="1394"/>
      <c r="AT829" s="1394"/>
      <c r="AU829" s="1394"/>
      <c r="AV829" s="1394"/>
      <c r="AW829" s="1394"/>
      <c r="AX829" s="1394"/>
      <c r="AY829" s="1394"/>
      <c r="AZ829" s="1394"/>
      <c r="BA829" s="1394"/>
      <c r="BB829" s="1394"/>
      <c r="BC829" s="1395"/>
      <c r="BD829" s="1648"/>
      <c r="BE829" s="1630"/>
      <c r="BF829" s="1630" t="str">
        <f>IF(T829="","",T829)</f>
        <v/>
      </c>
      <c r="BG829" s="1630"/>
      <c r="BH829" s="1630"/>
      <c r="BI829" s="1648">
        <v>0</v>
      </c>
    </row>
    <row s="628" customFormat="1" customHeight="1" ht="14.25">
      <c r="A830" s="1349"/>
      <c r="B830" s="1349"/>
      <c r="C830" s="1349"/>
      <c r="D830" s="1349"/>
      <c r="E830" s="2265" t="s">
        <v>112</v>
      </c>
      <c r="F830" s="2265"/>
      <c r="G830" s="2264"/>
      <c r="H830" s="1349"/>
      <c r="I830" s="1349"/>
      <c r="J830" s="1349"/>
      <c r="K830" s="1349"/>
      <c r="L830" s="1551"/>
      <c r="M830" s="1321"/>
      <c r="N830" s="1321"/>
      <c r="O830" s="1648"/>
      <c r="P830" s="1322"/>
      <c r="Q830" s="1350"/>
      <c r="R830" s="1322"/>
      <c r="S830" s="1328"/>
      <c r="T830" s="1331"/>
      <c r="U830" s="1330"/>
      <c r="V830" s="1330"/>
      <c r="W830" s="1330"/>
      <c r="X830" s="1330"/>
      <c r="Y830" s="1330"/>
      <c r="Z830" s="1330"/>
      <c r="AA830" s="1330"/>
      <c r="AB830" s="1330"/>
      <c r="AC830" s="1330"/>
      <c r="AD830" s="1330"/>
      <c r="AE830" s="1330"/>
      <c r="AF830" s="1330"/>
      <c r="AG830" s="1330"/>
      <c r="AH830" s="1330"/>
      <c r="AI830" s="1330"/>
      <c r="AJ830" s="1330"/>
      <c r="AK830" s="1330"/>
      <c r="AL830" s="1330"/>
      <c r="AM830" s="1330"/>
      <c r="AN830" s="1330"/>
      <c r="AO830" s="1330"/>
      <c r="AP830" s="1330"/>
      <c r="AQ830" s="1330"/>
      <c r="AR830" s="1330"/>
      <c r="AS830" s="1330"/>
      <c r="AT830" s="1330"/>
      <c r="AU830" s="1330"/>
      <c r="AV830" s="1330"/>
      <c r="AW830" s="1330"/>
      <c r="AX830" s="1330"/>
      <c r="AY830" s="1330"/>
      <c r="AZ830" s="1330"/>
      <c r="BA830" s="1330"/>
      <c r="BB830" s="1330"/>
      <c r="BC830" s="1330"/>
      <c r="BD830" s="1648"/>
      <c r="BE830" s="1630"/>
      <c r="BF830" s="1630" t="str">
        <f>IF(T830="","",T830)</f>
        <v/>
      </c>
      <c r="BG830" s="1630"/>
      <c r="BH830" s="1630"/>
      <c r="BI830" s="1648">
        <v>0</v>
      </c>
    </row>
    <row s="628" customFormat="1" customHeight="1" ht="14.25">
      <c r="A831" s="1349"/>
      <c r="B831" s="1349"/>
      <c r="C831" s="1349"/>
      <c r="D831" s="1349"/>
      <c r="E831" s="2265" t="s">
        <v>112</v>
      </c>
      <c r="F831" s="2264"/>
      <c r="G831" s="1349"/>
      <c r="H831" s="1349"/>
      <c r="I831" s="1349"/>
      <c r="J831" s="1349"/>
      <c r="K831" s="1349"/>
      <c r="L831" s="1551"/>
      <c r="M831" s="1327"/>
      <c r="N831" s="1327"/>
      <c r="O831" s="1648"/>
      <c r="P831" s="1322"/>
      <c r="Q831" s="1350"/>
      <c r="R831" s="1322"/>
      <c r="S831" s="1328"/>
      <c r="T831" s="1331" t="s">
        <v>251</v>
      </c>
      <c r="U831" s="1330"/>
      <c r="V831" s="1330"/>
      <c r="W831" s="1330"/>
      <c r="X831" s="1330"/>
      <c r="Y831" s="1330"/>
      <c r="Z831" s="1330"/>
      <c r="AA831" s="1330"/>
      <c r="AB831" s="1330"/>
      <c r="AC831" s="1330"/>
      <c r="AD831" s="1330"/>
      <c r="AE831" s="1330"/>
      <c r="AF831" s="1330"/>
      <c r="AG831" s="1330"/>
      <c r="AH831" s="1330"/>
      <c r="AI831" s="1330"/>
      <c r="AJ831" s="1330"/>
      <c r="AK831" s="1330"/>
      <c r="AL831" s="1330"/>
      <c r="AM831" s="1330"/>
      <c r="AN831" s="1330"/>
      <c r="AO831" s="1330"/>
      <c r="AP831" s="1330"/>
      <c r="AQ831" s="1330"/>
      <c r="AR831" s="1330"/>
      <c r="AS831" s="1330"/>
      <c r="AT831" s="1330"/>
      <c r="AU831" s="1330"/>
      <c r="AV831" s="1330"/>
      <c r="AW831" s="1330"/>
      <c r="AX831" s="1330"/>
      <c r="AY831" s="1330"/>
      <c r="AZ831" s="1330"/>
      <c r="BA831" s="1330"/>
      <c r="BB831" s="1330"/>
      <c r="BC831" s="1330"/>
      <c r="BD831" s="1648"/>
      <c r="BE831" s="1630"/>
      <c r="BF831" s="1630" t="str">
        <f>IF(T831="","",T831)</f>
        <v>Добавить централизованную систему для дифференциации</v>
      </c>
      <c r="BG831" s="1630"/>
      <c r="BH831" s="1630"/>
      <c r="BI831" s="1648">
        <v>0</v>
      </c>
    </row>
    <row s="628" customFormat="1" customHeight="1" ht="14.25">
      <c r="A832" s="1349"/>
      <c r="B832" s="1349"/>
      <c r="C832" s="1349"/>
      <c r="D832" s="1349"/>
      <c r="E832" s="2264" t="s">
        <v>112</v>
      </c>
      <c r="F832" s="1349"/>
      <c r="G832" s="1349"/>
      <c r="H832" s="1349"/>
      <c r="I832" s="1349"/>
      <c r="J832" s="1349"/>
      <c r="K832" s="1349"/>
      <c r="L832" s="1551"/>
      <c r="M832" s="1327"/>
      <c r="N832" s="1327"/>
      <c r="O832" s="1648"/>
      <c r="P832" s="1322"/>
      <c r="Q832" s="1350"/>
      <c r="R832" s="1322"/>
      <c r="S832" s="1328"/>
      <c r="T832" s="1331" t="s">
        <v>252</v>
      </c>
      <c r="U832" s="1330"/>
      <c r="V832" s="1330"/>
      <c r="W832" s="1330"/>
      <c r="X832" s="1330"/>
      <c r="Y832" s="1330"/>
      <c r="Z832" s="1330"/>
      <c r="AA832" s="1330"/>
      <c r="AB832" s="1330"/>
      <c r="AC832" s="1330"/>
      <c r="AD832" s="1330"/>
      <c r="AE832" s="1330"/>
      <c r="AF832" s="1330"/>
      <c r="AG832" s="1330"/>
      <c r="AH832" s="1330"/>
      <c r="AI832" s="1330"/>
      <c r="AJ832" s="1330"/>
      <c r="AK832" s="1330"/>
      <c r="AL832" s="1330"/>
      <c r="AM832" s="1330"/>
      <c r="AN832" s="1330"/>
      <c r="AO832" s="1330"/>
      <c r="AP832" s="1330"/>
      <c r="AQ832" s="1330"/>
      <c r="AR832" s="1330"/>
      <c r="AS832" s="1330"/>
      <c r="AT832" s="1330"/>
      <c r="AU832" s="1330"/>
      <c r="AV832" s="1330"/>
      <c r="AW832" s="1330"/>
      <c r="AX832" s="1330"/>
      <c r="AY832" s="1330"/>
      <c r="AZ832" s="1330"/>
      <c r="BA832" s="1330"/>
      <c r="BB832" s="1330"/>
      <c r="BC832" s="1330"/>
      <c r="BD832" s="1648"/>
      <c r="BE832" s="1630"/>
      <c r="BF832" s="1630" t="str">
        <f>IF(T832="","",T832)</f>
        <v>Добавить территорию для дифференциации</v>
      </c>
      <c r="BG832" s="1630"/>
      <c r="BH832" s="1630"/>
      <c r="BI832" s="1648">
        <v>0</v>
      </c>
    </row>
    <row s="1648" customFormat="1" customHeight="1" ht="0">
      <c r="A833" s="1320"/>
      <c r="B833" s="1320"/>
      <c r="C833" s="1320"/>
      <c r="D833" s="1320"/>
      <c r="E833" s="1349"/>
      <c r="F833" s="1320"/>
      <c r="G833" s="1320"/>
      <c r="H833" s="1320"/>
      <c r="I833" s="1320"/>
      <c r="J833" s="1320"/>
      <c r="K833" s="1320"/>
      <c r="L833" s="1470"/>
      <c r="M833" s="1327"/>
      <c r="N833" s="1327"/>
      <c r="P833" s="1322"/>
      <c r="Q833" s="1323"/>
      <c r="R833" s="1322"/>
      <c r="S833" s="1328"/>
      <c r="T833" s="1331" t="s">
        <v>264</v>
      </c>
      <c r="U833" s="1330"/>
      <c r="V833" s="1330"/>
      <c r="W833" s="1330"/>
      <c r="X833" s="1330"/>
      <c r="Y833" s="1330"/>
      <c r="Z833" s="1330"/>
      <c r="AA833" s="1330"/>
      <c r="AB833" s="1330"/>
      <c r="AC833" s="1330"/>
      <c r="AD833" s="1330"/>
      <c r="AE833" s="1330"/>
      <c r="AF833" s="1330"/>
      <c r="AG833" s="1330"/>
      <c r="AH833" s="1330"/>
      <c r="AI833" s="1330"/>
      <c r="AJ833" s="1330"/>
      <c r="AK833" s="1330"/>
      <c r="AL833" s="1330"/>
      <c r="AM833" s="1330"/>
      <c r="AN833" s="1330"/>
      <c r="AO833" s="1330"/>
      <c r="AP833" s="1330"/>
      <c r="AQ833" s="1330"/>
      <c r="AR833" s="1330"/>
      <c r="AS833" s="1330"/>
      <c r="AT833" s="1330"/>
      <c r="AU833" s="1330"/>
      <c r="AV833" s="1330"/>
      <c r="AW833" s="1330"/>
      <c r="AX833" s="1330"/>
      <c r="AY833" s="1330"/>
      <c r="AZ833" s="1330"/>
      <c r="BA833" s="1330"/>
      <c r="BB833" s="1330"/>
      <c r="BC833" s="1330"/>
      <c r="BE833" s="795"/>
      <c r="BF833" s="795" t="str">
        <f>IF(T833="","",T833)</f>
        <v>Добавить наименование тарифа</v>
      </c>
      <c r="BG833" s="795"/>
      <c r="BH833" s="795"/>
      <c r="BI833" s="524">
        <v>0</v>
      </c>
    </row>
    <row customHeight="1" ht="11.549999999999999">
      <c r="M834" s="1166"/>
      <c r="N834" s="1166"/>
      <c r="O834" s="543"/>
      <c r="P834" s="1166"/>
      <c r="Q834" s="1166"/>
      <c r="R834" s="1161"/>
      <c r="S834" s="1161"/>
      <c r="BD834" s="1161"/>
      <c r="BE834" s="1161"/>
      <c r="BF834" s="1161"/>
      <c r="BG834" s="1161"/>
      <c r="BH834" s="1161"/>
      <c r="BI834" s="1161">
        <v>11</v>
      </c>
    </row>
    <row customHeight="1" ht="19.95">
      <c r="O835" s="543"/>
      <c r="S835" s="1259"/>
      <c r="T835" s="2291"/>
      <c r="U835" s="2291"/>
      <c r="V835" s="2291"/>
      <c r="W835" s="2291"/>
      <c r="X835" s="2291"/>
      <c r="Y835" s="2291"/>
      <c r="Z835" s="2291"/>
      <c r="AA835" s="2291"/>
      <c r="AB835" s="2291"/>
      <c r="AC835" s="2291"/>
      <c r="AD835" s="2291"/>
      <c r="AE835" s="2291"/>
      <c r="AF835" s="2291"/>
      <c r="AG835" s="2291"/>
      <c r="AH835" s="2291"/>
      <c r="AI835" s="2291"/>
      <c r="AJ835" s="2291"/>
      <c r="AK835" s="2291"/>
      <c r="AL835" s="2291"/>
      <c r="AM835" s="2291"/>
      <c r="AN835" s="2291"/>
      <c r="AO835" s="2291"/>
      <c r="AP835" s="2291"/>
      <c r="AQ835" s="2291"/>
      <c r="AR835" s="2291"/>
      <c r="AS835" s="2291"/>
      <c r="AT835" s="2291"/>
      <c r="AU835" s="2291"/>
      <c r="AV835" s="2291"/>
      <c r="AW835" s="2291"/>
      <c r="AX835" s="2291"/>
      <c r="AY835" s="2291"/>
      <c r="AZ835" s="2291"/>
      <c r="BA835" s="2291"/>
      <c r="BB835" s="2291"/>
      <c r="BC835" s="2291"/>
      <c r="BI835" s="1161">
        <v>19</v>
      </c>
    </row>
    <row customHeight="1" ht="14.699999999999998">
      <c r="O836" s="543"/>
      <c r="T836" s="1455"/>
      <c r="U836" s="1455"/>
      <c r="V836" s="1455"/>
      <c r="W836" s="1455"/>
      <c r="X836" s="1455"/>
      <c r="Y836" s="1455"/>
      <c r="Z836" s="1455"/>
      <c r="AA836" s="1455"/>
      <c r="AB836" s="1455"/>
      <c r="AC836" s="1455"/>
      <c r="AD836" s="1455"/>
      <c r="AE836" s="1455"/>
      <c r="AF836" s="1455"/>
      <c r="AG836" s="1455"/>
      <c r="AH836" s="1455"/>
      <c r="AI836" s="1455"/>
      <c r="AJ836" s="1455"/>
      <c r="AK836" s="1455"/>
      <c r="AL836" s="1455"/>
      <c r="AM836" s="1455"/>
      <c r="AN836" s="1455"/>
      <c r="AO836" s="1455"/>
      <c r="AP836" s="1455"/>
      <c r="AQ836" s="1455"/>
      <c r="AR836" s="1455"/>
      <c r="AS836" s="1455"/>
      <c r="AT836" s="1455"/>
      <c r="AU836" s="1455"/>
      <c r="AV836" s="1455"/>
      <c r="AW836" s="1455"/>
      <c r="AX836" s="1455"/>
      <c r="AY836" s="1455"/>
      <c r="AZ836" s="1455"/>
      <c r="BA836" s="1455"/>
      <c r="BB836" s="1455"/>
      <c r="BC836" s="1455"/>
      <c r="BI836" s="1161">
        <v>14</v>
      </c>
    </row>
    <row customHeight="1" ht="19.95">
      <c r="O837" s="543"/>
      <c r="S837" s="1259"/>
      <c r="T837" s="2291"/>
      <c r="U837" s="2291"/>
      <c r="V837" s="2291"/>
      <c r="W837" s="2291"/>
      <c r="X837" s="2291"/>
      <c r="Y837" s="2291"/>
      <c r="Z837" s="2291"/>
      <c r="AA837" s="2291"/>
      <c r="AB837" s="2291"/>
      <c r="AC837" s="2291"/>
      <c r="AD837" s="2291"/>
      <c r="AE837" s="2291"/>
      <c r="AF837" s="2291"/>
      <c r="AG837" s="2291"/>
      <c r="AH837" s="2291"/>
      <c r="AI837" s="2291"/>
      <c r="AJ837" s="2291"/>
      <c r="AK837" s="2291"/>
      <c r="AL837" s="2291"/>
      <c r="AM837" s="2291"/>
      <c r="AN837" s="2291"/>
      <c r="AO837" s="2291"/>
      <c r="AP837" s="2291"/>
      <c r="AQ837" s="2291"/>
      <c r="AR837" s="2291"/>
      <c r="AS837" s="2291"/>
      <c r="AT837" s="2291"/>
      <c r="AU837" s="2291"/>
      <c r="AV837" s="2291"/>
      <c r="AW837" s="2291"/>
      <c r="AX837" s="2291"/>
      <c r="AY837" s="2291"/>
      <c r="AZ837" s="2291"/>
      <c r="BA837" s="2291"/>
      <c r="BB837" s="2291"/>
      <c r="BC837" s="2291"/>
      <c r="BI837" s="1161">
        <v>19</v>
      </c>
    </row>
    <row customHeight="1" ht="14.699999999999998">
      <c r="O838" s="543"/>
      <c r="BI838" s="1161">
        <v>14</v>
      </c>
    </row>
    <row customHeight="1" ht="14.25" hidden="1">
      <c r="A839" s="1166" t="s">
        <v>83</v>
      </c>
      <c r="B839" s="1166">
        <v>0</v>
      </c>
      <c r="C839" s="1166">
        <v>0</v>
      </c>
      <c r="D839" s="1166">
        <v>0</v>
      </c>
      <c r="E839" s="1166">
        <v>0</v>
      </c>
      <c r="F839" s="1166">
        <v>0</v>
      </c>
      <c r="G839" s="1166">
        <v>0</v>
      </c>
      <c r="H839" s="1166">
        <v>0</v>
      </c>
      <c r="I839" s="1166">
        <v>0</v>
      </c>
      <c r="J839" s="1166">
        <v>0</v>
      </c>
      <c r="K839" s="1166">
        <v>0</v>
      </c>
      <c r="L839" s="1467">
        <v>0</v>
      </c>
      <c r="M839" s="1368">
        <v>0</v>
      </c>
      <c r="N839" s="1368">
        <v>0</v>
      </c>
      <c r="O839" s="1368">
        <v>0</v>
      </c>
      <c r="P839" s="1368">
        <v>0</v>
      </c>
      <c r="Q839" s="1377">
        <v>0</v>
      </c>
      <c r="R839" s="350">
        <v>3</v>
      </c>
      <c r="S839" s="587">
        <v>12</v>
      </c>
      <c r="T839" s="1161">
        <v>31</v>
      </c>
      <c r="U839" s="1161">
        <v>0</v>
      </c>
      <c r="V839" s="1161">
        <v>0</v>
      </c>
      <c r="W839" s="1161">
        <v>0</v>
      </c>
      <c r="X839" s="1161">
        <v>0</v>
      </c>
      <c r="Y839" s="1161">
        <v>0</v>
      </c>
      <c r="Z839" s="1161">
        <v>0</v>
      </c>
      <c r="AA839" s="1161">
        <v>0</v>
      </c>
      <c r="AB839" s="1161">
        <v>0</v>
      </c>
      <c r="AC839" s="1161">
        <v>0</v>
      </c>
      <c r="AD839" s="1161">
        <v>3</v>
      </c>
      <c r="AE839" s="1161">
        <v>3</v>
      </c>
      <c r="AF839" s="1161">
        <v>3</v>
      </c>
      <c r="AG839" s="1161">
        <v>24</v>
      </c>
      <c r="AH839" s="1161">
        <v>3</v>
      </c>
      <c r="AI839" s="1161">
        <v>3</v>
      </c>
      <c r="AJ839" s="1161">
        <v>3</v>
      </c>
      <c r="AK839" s="1161">
        <v>24</v>
      </c>
      <c r="AL839" s="1161">
        <v>3</v>
      </c>
      <c r="AM839" s="1161">
        <v>3</v>
      </c>
      <c r="AN839" s="1161">
        <v>3</v>
      </c>
      <c r="AO839" s="1161">
        <v>18</v>
      </c>
      <c r="AP839" s="1161">
        <v>3</v>
      </c>
      <c r="AQ839" s="1161">
        <v>3</v>
      </c>
      <c r="AR839" s="1161">
        <v>3</v>
      </c>
      <c r="AS839" s="1161">
        <v>18</v>
      </c>
      <c r="AT839" s="1161">
        <v>21</v>
      </c>
      <c r="AU839" s="1161">
        <v>21</v>
      </c>
      <c r="AV839" s="1161">
        <v>21</v>
      </c>
      <c r="AW839" s="1161">
        <v>21</v>
      </c>
      <c r="AX839" s="1161">
        <v>11</v>
      </c>
      <c r="AY839" s="1161">
        <v>3</v>
      </c>
      <c r="AZ839" s="1161">
        <v>11</v>
      </c>
      <c r="BA839" s="1161">
        <v>0</v>
      </c>
      <c r="BB839" s="1161">
        <v>4</v>
      </c>
      <c r="BC839" s="1161">
        <v>115</v>
      </c>
      <c r="BD839" s="517">
        <v>10</v>
      </c>
      <c r="BE839" s="517">
        <v>10</v>
      </c>
      <c r="BF839" s="517">
        <v>10</v>
      </c>
      <c r="BG839" s="517">
        <v>10</v>
      </c>
      <c r="BH839" s="517">
        <v>10</v>
      </c>
      <c r="BI839" s="1161">
        <v>23</v>
      </c>
    </row>
  </sheetData>
  <sheetProtection sheet="1" formatColumns="0" formatRows="0" autoFilter="0" sort="1" insertRows="1" insertColumns="1" deleteRows="1" deleteColumns="1"/>
  <mergeCells count="1730">
    <mergeCell ref="T837:BC837"/>
    <mergeCell ref="AK52:AK54"/>
    <mergeCell ref="AL52:AL54"/>
    <mergeCell ref="AE52:AE55"/>
    <mergeCell ref="AF52:AF55"/>
    <mergeCell ref="AG52:AG55"/>
    <mergeCell ref="AH52:AH55"/>
    <mergeCell ref="AI52:AI54"/>
    <mergeCell ref="AJ52:AJ54"/>
    <mergeCell ref="BC52:BC57"/>
    <mergeCell ref="T52:T56"/>
    <mergeCell ref="T835:BC83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BC69:BC442"/>
    <mergeCell ref="AK69:AK74"/>
    <mergeCell ref="AL69:AL74"/>
    <mergeCell ref="AE69:AE99"/>
    <mergeCell ref="AF69:AF99"/>
    <mergeCell ref="AG69:AG99"/>
    <mergeCell ref="AD68:BB68"/>
    <mergeCell ref="K69:K100"/>
    <mergeCell ref="R69:R100"/>
    <mergeCell ref="S69:S100"/>
    <mergeCell ref="T69:T100"/>
    <mergeCell ref="AH69:AH99"/>
    <mergeCell ref="AI69:AI74"/>
    <mergeCell ref="AJ69:AJ74"/>
    <mergeCell ref="E63:E447"/>
    <mergeCell ref="V63:AC63"/>
    <mergeCell ref="AD63:BB63"/>
    <mergeCell ref="F64:F446"/>
    <mergeCell ref="V64:AC64"/>
    <mergeCell ref="AD64:BB64"/>
    <mergeCell ref="G65:G445"/>
    <mergeCell ref="V65:AC65"/>
    <mergeCell ref="AD65:BB65"/>
    <mergeCell ref="H66:H444"/>
    <mergeCell ref="AM69:AM73"/>
    <mergeCell ref="AN69:AN73"/>
    <mergeCell ref="AO69:AO73"/>
    <mergeCell ref="AP69:AP73"/>
    <mergeCell ref="AD69:AD100"/>
    <mergeCell ref="V66:AC66"/>
    <mergeCell ref="AD66:BB66"/>
    <mergeCell ref="I67:I443"/>
    <mergeCell ref="P67:P443"/>
    <mergeCell ref="V67:AC67"/>
    <mergeCell ref="AD67:BB67"/>
    <mergeCell ref="J68:J442"/>
    <mergeCell ref="Q68:Q442"/>
    <mergeCell ref="V68:AC68"/>
    <mergeCell ref="K101:K132"/>
    <mergeCell ref="R101:R132"/>
    <mergeCell ref="S101:S132"/>
    <mergeCell ref="T101:T132"/>
    <mergeCell ref="AD101:AD132"/>
    <mergeCell ref="AE101:AE131"/>
    <mergeCell ref="AF101:AF131"/>
    <mergeCell ref="AG101:AG131"/>
    <mergeCell ref="AH101:AH131"/>
    <mergeCell ref="AI101:AI106"/>
    <mergeCell ref="AJ101:AJ106"/>
    <mergeCell ref="AK101:AK106"/>
    <mergeCell ref="AL101:AL106"/>
    <mergeCell ref="AM101:AM105"/>
    <mergeCell ref="AN101:AN105"/>
    <mergeCell ref="AO101:AO105"/>
    <mergeCell ref="AP101:AP105"/>
    <mergeCell ref="BC454:BC827"/>
    <mergeCell ref="AK454:AK459"/>
    <mergeCell ref="AL454:AL459"/>
    <mergeCell ref="AE454:AE484"/>
    <mergeCell ref="AF454:AF484"/>
    <mergeCell ref="AG454:AG484"/>
    <mergeCell ref="AD453:BB453"/>
    <mergeCell ref="K454:K485"/>
    <mergeCell ref="R454:R485"/>
    <mergeCell ref="S454:S485"/>
    <mergeCell ref="T454:T485"/>
    <mergeCell ref="AH454:AH484"/>
    <mergeCell ref="AI454:AI459"/>
    <mergeCell ref="AJ454:AJ459"/>
    <mergeCell ref="E448:E832"/>
    <mergeCell ref="V448:AC448"/>
    <mergeCell ref="AD448:BB448"/>
    <mergeCell ref="F449:F831"/>
    <mergeCell ref="V449:AC449"/>
    <mergeCell ref="AD449:BB449"/>
    <mergeCell ref="G450:G830"/>
    <mergeCell ref="V450:AC450"/>
    <mergeCell ref="AD450:BB450"/>
    <mergeCell ref="H451:H829"/>
    <mergeCell ref="AM454:AM458"/>
    <mergeCell ref="AN454:AN458"/>
    <mergeCell ref="AO454:AO458"/>
    <mergeCell ref="AP454:AP458"/>
    <mergeCell ref="AD454:AD485"/>
    <mergeCell ref="V451:AC451"/>
    <mergeCell ref="AD451:BB451"/>
    <mergeCell ref="I452:I828"/>
    <mergeCell ref="P452:P828"/>
    <mergeCell ref="V452:AC452"/>
    <mergeCell ref="AD452:BB452"/>
    <mergeCell ref="J453:J827"/>
    <mergeCell ref="Q453:Q827"/>
    <mergeCell ref="V453:AC453"/>
    <mergeCell ref="AI75:AI78"/>
    <mergeCell ref="AJ75:AJ78"/>
    <mergeCell ref="AK75:AK78"/>
    <mergeCell ref="AL75:AL78"/>
    <mergeCell ref="AM75:AM77"/>
    <mergeCell ref="AN75:AN77"/>
    <mergeCell ref="AO75:AO77"/>
    <mergeCell ref="AP75:AP77"/>
    <mergeCell ref="AI79:AI84"/>
    <mergeCell ref="AJ79:AJ84"/>
    <mergeCell ref="AK79:AK84"/>
    <mergeCell ref="AL79:AL84"/>
    <mergeCell ref="AM79:AM83"/>
    <mergeCell ref="AN79:AN83"/>
    <mergeCell ref="AO79:AO83"/>
    <mergeCell ref="AP79:AP83"/>
    <mergeCell ref="AI85:AI90"/>
    <mergeCell ref="AJ85:AJ90"/>
    <mergeCell ref="AK85:AK90"/>
    <mergeCell ref="AL85:AL90"/>
    <mergeCell ref="AM85:AM89"/>
    <mergeCell ref="AN85:AN89"/>
    <mergeCell ref="AO85:AO89"/>
    <mergeCell ref="AP85:AP89"/>
    <mergeCell ref="AI91:AI94"/>
    <mergeCell ref="AJ91:AJ94"/>
    <mergeCell ref="AK91:AK94"/>
    <mergeCell ref="AL91:AL94"/>
    <mergeCell ref="AM91:AM93"/>
    <mergeCell ref="AN91:AN93"/>
    <mergeCell ref="AO91:AO93"/>
    <mergeCell ref="AP91:AP93"/>
    <mergeCell ref="AI95:AI98"/>
    <mergeCell ref="AJ95:AJ98"/>
    <mergeCell ref="AK95:AK98"/>
    <mergeCell ref="AL95:AL98"/>
    <mergeCell ref="AM95:AM97"/>
    <mergeCell ref="AN95:AN97"/>
    <mergeCell ref="AO95:AO97"/>
    <mergeCell ref="AP95:AP97"/>
    <mergeCell ref="AI107:AI110"/>
    <mergeCell ref="AJ107:AJ110"/>
    <mergeCell ref="AK107:AK110"/>
    <mergeCell ref="AL107:AL110"/>
    <mergeCell ref="AM107:AM109"/>
    <mergeCell ref="AN107:AN109"/>
    <mergeCell ref="AO107:AO109"/>
    <mergeCell ref="AP107:AP109"/>
    <mergeCell ref="AI111:AI116"/>
    <mergeCell ref="AJ111:AJ116"/>
    <mergeCell ref="AK111:AK116"/>
    <mergeCell ref="AL111:AL116"/>
    <mergeCell ref="AM111:AM115"/>
    <mergeCell ref="AN111:AN115"/>
    <mergeCell ref="AO111:AO115"/>
    <mergeCell ref="AP111:AP115"/>
    <mergeCell ref="AI117:AI122"/>
    <mergeCell ref="AJ117:AJ122"/>
    <mergeCell ref="AK117:AK122"/>
    <mergeCell ref="AL117:AL122"/>
    <mergeCell ref="AM117:AM121"/>
    <mergeCell ref="AN117:AN121"/>
    <mergeCell ref="AO117:AO121"/>
    <mergeCell ref="AP117:AP121"/>
    <mergeCell ref="AI123:AI126"/>
    <mergeCell ref="AJ123:AJ126"/>
    <mergeCell ref="AK123:AK126"/>
    <mergeCell ref="AL123:AL126"/>
    <mergeCell ref="AM123:AM125"/>
    <mergeCell ref="AN123:AN125"/>
    <mergeCell ref="AO123:AO125"/>
    <mergeCell ref="AP123:AP125"/>
    <mergeCell ref="AI127:AI130"/>
    <mergeCell ref="AJ127:AJ130"/>
    <mergeCell ref="AK127:AK130"/>
    <mergeCell ref="AL127:AL130"/>
    <mergeCell ref="AM127:AM129"/>
    <mergeCell ref="AN127:AN129"/>
    <mergeCell ref="AO127:AO129"/>
    <mergeCell ref="AP127:AP129"/>
    <mergeCell ref="K133:K164"/>
    <mergeCell ref="R133:R164"/>
    <mergeCell ref="S133:S164"/>
    <mergeCell ref="T133:T164"/>
    <mergeCell ref="AD133:AD164"/>
    <mergeCell ref="AE133:AE163"/>
    <mergeCell ref="AF133:AF163"/>
    <mergeCell ref="AG133:AG163"/>
    <mergeCell ref="AH133:AH163"/>
    <mergeCell ref="AI133:AI138"/>
    <mergeCell ref="AJ133:AJ138"/>
    <mergeCell ref="AK133:AK138"/>
    <mergeCell ref="AL133:AL138"/>
    <mergeCell ref="AM133:AM137"/>
    <mergeCell ref="AN133:AN137"/>
    <mergeCell ref="AO133:AO137"/>
    <mergeCell ref="AP133:AP137"/>
    <mergeCell ref="AI139:AI142"/>
    <mergeCell ref="AJ139:AJ142"/>
    <mergeCell ref="AK139:AK142"/>
    <mergeCell ref="AL139:AL142"/>
    <mergeCell ref="AM139:AM141"/>
    <mergeCell ref="AN139:AN141"/>
    <mergeCell ref="AO139:AO141"/>
    <mergeCell ref="AP139:AP141"/>
    <mergeCell ref="AI143:AI148"/>
    <mergeCell ref="AJ143:AJ148"/>
    <mergeCell ref="AK143:AK148"/>
    <mergeCell ref="AL143:AL148"/>
    <mergeCell ref="AM143:AM147"/>
    <mergeCell ref="AN143:AN147"/>
    <mergeCell ref="AO143:AO147"/>
    <mergeCell ref="AP143:AP147"/>
    <mergeCell ref="AI149:AI154"/>
    <mergeCell ref="AJ149:AJ154"/>
    <mergeCell ref="AK149:AK154"/>
    <mergeCell ref="AL149:AL154"/>
    <mergeCell ref="AM149:AM153"/>
    <mergeCell ref="AN149:AN153"/>
    <mergeCell ref="AO149:AO153"/>
    <mergeCell ref="AP149:AP153"/>
    <mergeCell ref="AI155:AI158"/>
    <mergeCell ref="AJ155:AJ158"/>
    <mergeCell ref="AK155:AK158"/>
    <mergeCell ref="AL155:AL158"/>
    <mergeCell ref="AM155:AM157"/>
    <mergeCell ref="AN155:AN157"/>
    <mergeCell ref="AO155:AO157"/>
    <mergeCell ref="AP155:AP157"/>
    <mergeCell ref="AI159:AI162"/>
    <mergeCell ref="AJ159:AJ162"/>
    <mergeCell ref="AK159:AK162"/>
    <mergeCell ref="AL159:AL162"/>
    <mergeCell ref="AM159:AM161"/>
    <mergeCell ref="AN159:AN161"/>
    <mergeCell ref="AO159:AO161"/>
    <mergeCell ref="AP159:AP161"/>
    <mergeCell ref="K165:K190"/>
    <mergeCell ref="R165:R190"/>
    <mergeCell ref="S165:S190"/>
    <mergeCell ref="T165:T190"/>
    <mergeCell ref="AD165:AD190"/>
    <mergeCell ref="AE165:AE189"/>
    <mergeCell ref="AF165:AF189"/>
    <mergeCell ref="AG165:AG189"/>
    <mergeCell ref="AH165:AH189"/>
    <mergeCell ref="AI165:AI170"/>
    <mergeCell ref="AJ165:AJ170"/>
    <mergeCell ref="AK165:AK170"/>
    <mergeCell ref="AL165:AL170"/>
    <mergeCell ref="AM165:AM169"/>
    <mergeCell ref="AN165:AN169"/>
    <mergeCell ref="AO165:AO169"/>
    <mergeCell ref="AP165:AP169"/>
    <mergeCell ref="AI171:AI174"/>
    <mergeCell ref="AJ171:AJ174"/>
    <mergeCell ref="AK171:AK174"/>
    <mergeCell ref="AL171:AL174"/>
    <mergeCell ref="AM171:AM173"/>
    <mergeCell ref="AN171:AN173"/>
    <mergeCell ref="AO171:AO173"/>
    <mergeCell ref="AP171:AP173"/>
    <mergeCell ref="AI175:AI180"/>
    <mergeCell ref="AJ175:AJ180"/>
    <mergeCell ref="AK175:AK180"/>
    <mergeCell ref="AL175:AL180"/>
    <mergeCell ref="AM175:AM179"/>
    <mergeCell ref="AN175:AN179"/>
    <mergeCell ref="AO175:AO179"/>
    <mergeCell ref="AP175:AP179"/>
    <mergeCell ref="AI181:AI184"/>
    <mergeCell ref="AJ181:AJ184"/>
    <mergeCell ref="AK181:AK184"/>
    <mergeCell ref="AL181:AL184"/>
    <mergeCell ref="AM181:AM183"/>
    <mergeCell ref="AN181:AN183"/>
    <mergeCell ref="AO181:AO183"/>
    <mergeCell ref="AP181:AP183"/>
    <mergeCell ref="AI185:AI188"/>
    <mergeCell ref="AJ185:AJ188"/>
    <mergeCell ref="AK185:AK188"/>
    <mergeCell ref="AL185:AL188"/>
    <mergeCell ref="AM185:AM187"/>
    <mergeCell ref="AN185:AN187"/>
    <mergeCell ref="AO185:AO187"/>
    <mergeCell ref="AP185:AP187"/>
    <mergeCell ref="K191:K216"/>
    <mergeCell ref="R191:R216"/>
    <mergeCell ref="S191:S216"/>
    <mergeCell ref="T191:T216"/>
    <mergeCell ref="AD191:AD216"/>
    <mergeCell ref="AE191:AE215"/>
    <mergeCell ref="AF191:AF215"/>
    <mergeCell ref="AG191:AG215"/>
    <mergeCell ref="AH191:AH215"/>
    <mergeCell ref="AI191:AI196"/>
    <mergeCell ref="AJ191:AJ196"/>
    <mergeCell ref="AK191:AK196"/>
    <mergeCell ref="AL191:AL196"/>
    <mergeCell ref="AM191:AM195"/>
    <mergeCell ref="AN191:AN195"/>
    <mergeCell ref="AO191:AO195"/>
    <mergeCell ref="AP191:AP195"/>
    <mergeCell ref="AI197:AI200"/>
    <mergeCell ref="AJ197:AJ200"/>
    <mergeCell ref="AK197:AK200"/>
    <mergeCell ref="AL197:AL200"/>
    <mergeCell ref="AM197:AM199"/>
    <mergeCell ref="AN197:AN199"/>
    <mergeCell ref="AO197:AO199"/>
    <mergeCell ref="AP197:AP199"/>
    <mergeCell ref="AI201:AI206"/>
    <mergeCell ref="AJ201:AJ206"/>
    <mergeCell ref="AK201:AK206"/>
    <mergeCell ref="AL201:AL206"/>
    <mergeCell ref="AM201:AM205"/>
    <mergeCell ref="AN201:AN205"/>
    <mergeCell ref="AO201:AO205"/>
    <mergeCell ref="AP201:AP205"/>
    <mergeCell ref="AI207:AI210"/>
    <mergeCell ref="AJ207:AJ210"/>
    <mergeCell ref="AK207:AK210"/>
    <mergeCell ref="AL207:AL210"/>
    <mergeCell ref="AM207:AM209"/>
    <mergeCell ref="AN207:AN209"/>
    <mergeCell ref="AO207:AO209"/>
    <mergeCell ref="AP207:AP209"/>
    <mergeCell ref="AI211:AI214"/>
    <mergeCell ref="AJ211:AJ214"/>
    <mergeCell ref="AK211:AK214"/>
    <mergeCell ref="AL211:AL214"/>
    <mergeCell ref="AM211:AM213"/>
    <mergeCell ref="AN211:AN213"/>
    <mergeCell ref="AO211:AO213"/>
    <mergeCell ref="AP211:AP213"/>
    <mergeCell ref="K217:K242"/>
    <mergeCell ref="R217:R242"/>
    <mergeCell ref="S217:S242"/>
    <mergeCell ref="T217:T242"/>
    <mergeCell ref="AD217:AD242"/>
    <mergeCell ref="AE217:AE241"/>
    <mergeCell ref="AF217:AF241"/>
    <mergeCell ref="AG217:AG241"/>
    <mergeCell ref="AH217:AH241"/>
    <mergeCell ref="AI217:AI222"/>
    <mergeCell ref="AJ217:AJ222"/>
    <mergeCell ref="AK217:AK222"/>
    <mergeCell ref="AL217:AL222"/>
    <mergeCell ref="AM217:AM221"/>
    <mergeCell ref="AN217:AN221"/>
    <mergeCell ref="AO217:AO221"/>
    <mergeCell ref="AP217:AP221"/>
    <mergeCell ref="AI223:AI226"/>
    <mergeCell ref="AJ223:AJ226"/>
    <mergeCell ref="AK223:AK226"/>
    <mergeCell ref="AL223:AL226"/>
    <mergeCell ref="AM223:AM225"/>
    <mergeCell ref="AN223:AN225"/>
    <mergeCell ref="AO223:AO225"/>
    <mergeCell ref="AP223:AP225"/>
    <mergeCell ref="AI227:AI232"/>
    <mergeCell ref="AJ227:AJ232"/>
    <mergeCell ref="AK227:AK232"/>
    <mergeCell ref="AL227:AL232"/>
    <mergeCell ref="AM227:AM231"/>
    <mergeCell ref="AN227:AN231"/>
    <mergeCell ref="AO227:AO231"/>
    <mergeCell ref="AP227:AP231"/>
    <mergeCell ref="AI233:AI236"/>
    <mergeCell ref="AJ233:AJ236"/>
    <mergeCell ref="AK233:AK236"/>
    <mergeCell ref="AL233:AL236"/>
    <mergeCell ref="AM233:AM235"/>
    <mergeCell ref="AN233:AN235"/>
    <mergeCell ref="AO233:AO235"/>
    <mergeCell ref="AP233:AP235"/>
    <mergeCell ref="AI237:AI240"/>
    <mergeCell ref="AJ237:AJ240"/>
    <mergeCell ref="AK237:AK240"/>
    <mergeCell ref="AL237:AL240"/>
    <mergeCell ref="AM237:AM239"/>
    <mergeCell ref="AN237:AN239"/>
    <mergeCell ref="AO237:AO239"/>
    <mergeCell ref="AP237:AP239"/>
    <mergeCell ref="K243:K268"/>
    <mergeCell ref="R243:R268"/>
    <mergeCell ref="S243:S268"/>
    <mergeCell ref="T243:T268"/>
    <mergeCell ref="AD243:AD268"/>
    <mergeCell ref="AE243:AE267"/>
    <mergeCell ref="AF243:AF267"/>
    <mergeCell ref="AG243:AG267"/>
    <mergeCell ref="AH243:AH267"/>
    <mergeCell ref="AI243:AI248"/>
    <mergeCell ref="AJ243:AJ248"/>
    <mergeCell ref="AK243:AK248"/>
    <mergeCell ref="AL243:AL248"/>
    <mergeCell ref="AM243:AM247"/>
    <mergeCell ref="AN243:AN247"/>
    <mergeCell ref="AO243:AO247"/>
    <mergeCell ref="AP243:AP247"/>
    <mergeCell ref="AI249:AI252"/>
    <mergeCell ref="AJ249:AJ252"/>
    <mergeCell ref="AK249:AK252"/>
    <mergeCell ref="AL249:AL252"/>
    <mergeCell ref="AM249:AM251"/>
    <mergeCell ref="AN249:AN251"/>
    <mergeCell ref="AO249:AO251"/>
    <mergeCell ref="AP249:AP251"/>
    <mergeCell ref="AI253:AI258"/>
    <mergeCell ref="AJ253:AJ258"/>
    <mergeCell ref="AK253:AK258"/>
    <mergeCell ref="AL253:AL258"/>
    <mergeCell ref="AM253:AM257"/>
    <mergeCell ref="AN253:AN257"/>
    <mergeCell ref="AO253:AO257"/>
    <mergeCell ref="AP253:AP257"/>
    <mergeCell ref="AI259:AI262"/>
    <mergeCell ref="AJ259:AJ262"/>
    <mergeCell ref="AK259:AK262"/>
    <mergeCell ref="AL259:AL262"/>
    <mergeCell ref="AM259:AM261"/>
    <mergeCell ref="AN259:AN261"/>
    <mergeCell ref="AO259:AO261"/>
    <mergeCell ref="AP259:AP261"/>
    <mergeCell ref="AI263:AI266"/>
    <mergeCell ref="AJ263:AJ266"/>
    <mergeCell ref="AK263:AK266"/>
    <mergeCell ref="AL263:AL266"/>
    <mergeCell ref="AM263:AM265"/>
    <mergeCell ref="AN263:AN265"/>
    <mergeCell ref="AO263:AO265"/>
    <mergeCell ref="AP263:AP265"/>
    <mergeCell ref="K269:K292"/>
    <mergeCell ref="R269:R292"/>
    <mergeCell ref="S269:S292"/>
    <mergeCell ref="T269:T292"/>
    <mergeCell ref="AD269:AD292"/>
    <mergeCell ref="AE269:AE291"/>
    <mergeCell ref="AF269:AF291"/>
    <mergeCell ref="AG269:AG291"/>
    <mergeCell ref="AH269:AH291"/>
    <mergeCell ref="AI269:AI272"/>
    <mergeCell ref="AJ269:AJ272"/>
    <mergeCell ref="AK269:AK272"/>
    <mergeCell ref="AL269:AL272"/>
    <mergeCell ref="AM269:AM271"/>
    <mergeCell ref="AN269:AN271"/>
    <mergeCell ref="AO269:AO271"/>
    <mergeCell ref="AP269:AP271"/>
    <mergeCell ref="AI273:AI276"/>
    <mergeCell ref="AJ273:AJ276"/>
    <mergeCell ref="AK273:AK276"/>
    <mergeCell ref="AL273:AL276"/>
    <mergeCell ref="AM273:AM275"/>
    <mergeCell ref="AN273:AN275"/>
    <mergeCell ref="AO273:AO275"/>
    <mergeCell ref="AP273:AP275"/>
    <mergeCell ref="AI277:AI280"/>
    <mergeCell ref="AJ277:AJ280"/>
    <mergeCell ref="AK277:AK280"/>
    <mergeCell ref="AL277:AL280"/>
    <mergeCell ref="AM277:AM279"/>
    <mergeCell ref="AN277:AN279"/>
    <mergeCell ref="AO277:AO279"/>
    <mergeCell ref="AP277:AP279"/>
    <mergeCell ref="AI281:AI284"/>
    <mergeCell ref="AJ281:AJ284"/>
    <mergeCell ref="AK281:AK284"/>
    <mergeCell ref="AL281:AL284"/>
    <mergeCell ref="AM281:AM283"/>
    <mergeCell ref="AN281:AN283"/>
    <mergeCell ref="AO281:AO283"/>
    <mergeCell ref="AP281:AP283"/>
    <mergeCell ref="AI285:AI287"/>
    <mergeCell ref="AJ285:AJ287"/>
    <mergeCell ref="AK285:AK287"/>
    <mergeCell ref="AL285:AL287"/>
    <mergeCell ref="AM285:AM286"/>
    <mergeCell ref="AN285:AN286"/>
    <mergeCell ref="AO285:AO286"/>
    <mergeCell ref="AP285:AP286"/>
    <mergeCell ref="AI288:AI290"/>
    <mergeCell ref="AJ288:AJ290"/>
    <mergeCell ref="AK288:AK290"/>
    <mergeCell ref="AL288:AL290"/>
    <mergeCell ref="AM288:AM289"/>
    <mergeCell ref="AN288:AN289"/>
    <mergeCell ref="AO288:AO289"/>
    <mergeCell ref="AP288:AP289"/>
    <mergeCell ref="K293:K316"/>
    <mergeCell ref="R293:R316"/>
    <mergeCell ref="S293:S316"/>
    <mergeCell ref="T293:T316"/>
    <mergeCell ref="AD293:AD316"/>
    <mergeCell ref="AE293:AE315"/>
    <mergeCell ref="AF293:AF315"/>
    <mergeCell ref="AG293:AG315"/>
    <mergeCell ref="AH293:AH315"/>
    <mergeCell ref="AI293:AI296"/>
    <mergeCell ref="AJ293:AJ296"/>
    <mergeCell ref="AK293:AK296"/>
    <mergeCell ref="AL293:AL296"/>
    <mergeCell ref="AM293:AM295"/>
    <mergeCell ref="AN293:AN295"/>
    <mergeCell ref="AO293:AO295"/>
    <mergeCell ref="AP293:AP295"/>
    <mergeCell ref="AI297:AI300"/>
    <mergeCell ref="AJ297:AJ300"/>
    <mergeCell ref="AK297:AK300"/>
    <mergeCell ref="AL297:AL300"/>
    <mergeCell ref="AM297:AM299"/>
    <mergeCell ref="AN297:AN299"/>
    <mergeCell ref="AO297:AO299"/>
    <mergeCell ref="AP297:AP299"/>
    <mergeCell ref="AI301:AI304"/>
    <mergeCell ref="AJ301:AJ304"/>
    <mergeCell ref="AK301:AK304"/>
    <mergeCell ref="AL301:AL304"/>
    <mergeCell ref="AM301:AM303"/>
    <mergeCell ref="AN301:AN303"/>
    <mergeCell ref="AO301:AO303"/>
    <mergeCell ref="AP301:AP303"/>
    <mergeCell ref="AI305:AI308"/>
    <mergeCell ref="AJ305:AJ308"/>
    <mergeCell ref="AK305:AK308"/>
    <mergeCell ref="AL305:AL308"/>
    <mergeCell ref="AM305:AM307"/>
    <mergeCell ref="AN305:AN307"/>
    <mergeCell ref="AO305:AO307"/>
    <mergeCell ref="AP305:AP307"/>
    <mergeCell ref="AI309:AI311"/>
    <mergeCell ref="AJ309:AJ311"/>
    <mergeCell ref="AK309:AK311"/>
    <mergeCell ref="AL309:AL311"/>
    <mergeCell ref="AM309:AM310"/>
    <mergeCell ref="AN309:AN310"/>
    <mergeCell ref="AO309:AO310"/>
    <mergeCell ref="AP309:AP310"/>
    <mergeCell ref="AI312:AI314"/>
    <mergeCell ref="AJ312:AJ314"/>
    <mergeCell ref="AK312:AK314"/>
    <mergeCell ref="AL312:AL314"/>
    <mergeCell ref="AM312:AM313"/>
    <mergeCell ref="AN312:AN313"/>
    <mergeCell ref="AO312:AO313"/>
    <mergeCell ref="AP312:AP313"/>
    <mergeCell ref="K317:K340"/>
    <mergeCell ref="R317:R340"/>
    <mergeCell ref="S317:S340"/>
    <mergeCell ref="T317:T340"/>
    <mergeCell ref="AD317:AD340"/>
    <mergeCell ref="AE317:AE339"/>
    <mergeCell ref="AF317:AF339"/>
    <mergeCell ref="AG317:AG339"/>
    <mergeCell ref="AH317:AH339"/>
    <mergeCell ref="AI317:AI320"/>
    <mergeCell ref="AJ317:AJ320"/>
    <mergeCell ref="AK317:AK320"/>
    <mergeCell ref="AL317:AL320"/>
    <mergeCell ref="AM317:AM319"/>
    <mergeCell ref="AN317:AN319"/>
    <mergeCell ref="AO317:AO319"/>
    <mergeCell ref="AP317:AP319"/>
    <mergeCell ref="AI321:AI324"/>
    <mergeCell ref="AJ321:AJ324"/>
    <mergeCell ref="AK321:AK324"/>
    <mergeCell ref="AL321:AL324"/>
    <mergeCell ref="AM321:AM323"/>
    <mergeCell ref="AN321:AN323"/>
    <mergeCell ref="AO321:AO323"/>
    <mergeCell ref="AP321:AP323"/>
    <mergeCell ref="AI325:AI328"/>
    <mergeCell ref="AJ325:AJ328"/>
    <mergeCell ref="AK325:AK328"/>
    <mergeCell ref="AL325:AL328"/>
    <mergeCell ref="AM325:AM327"/>
    <mergeCell ref="AN325:AN327"/>
    <mergeCell ref="AO325:AO327"/>
    <mergeCell ref="AP325:AP327"/>
    <mergeCell ref="AI329:AI332"/>
    <mergeCell ref="AJ329:AJ332"/>
    <mergeCell ref="AK329:AK332"/>
    <mergeCell ref="AL329:AL332"/>
    <mergeCell ref="AM329:AM331"/>
    <mergeCell ref="AN329:AN331"/>
    <mergeCell ref="AO329:AO331"/>
    <mergeCell ref="AP329:AP331"/>
    <mergeCell ref="AI333:AI335"/>
    <mergeCell ref="AJ333:AJ335"/>
    <mergeCell ref="AK333:AK335"/>
    <mergeCell ref="AL333:AL335"/>
    <mergeCell ref="AM333:AM334"/>
    <mergeCell ref="AN333:AN334"/>
    <mergeCell ref="AO333:AO334"/>
    <mergeCell ref="AP333:AP334"/>
    <mergeCell ref="AI336:AI338"/>
    <mergeCell ref="AJ336:AJ338"/>
    <mergeCell ref="AK336:AK338"/>
    <mergeCell ref="AL336:AL338"/>
    <mergeCell ref="AM336:AM337"/>
    <mergeCell ref="AN336:AN337"/>
    <mergeCell ref="AO336:AO337"/>
    <mergeCell ref="AP336:AP337"/>
    <mergeCell ref="K341:K364"/>
    <mergeCell ref="R341:R364"/>
    <mergeCell ref="S341:S364"/>
    <mergeCell ref="T341:T364"/>
    <mergeCell ref="AD341:AD364"/>
    <mergeCell ref="AE341:AE363"/>
    <mergeCell ref="AF341:AF363"/>
    <mergeCell ref="AG341:AG363"/>
    <mergeCell ref="AH341:AH363"/>
    <mergeCell ref="AI341:AI344"/>
    <mergeCell ref="AJ341:AJ344"/>
    <mergeCell ref="AK341:AK344"/>
    <mergeCell ref="AL341:AL344"/>
    <mergeCell ref="AM341:AM343"/>
    <mergeCell ref="AN341:AN343"/>
    <mergeCell ref="AO341:AO343"/>
    <mergeCell ref="AP341:AP343"/>
    <mergeCell ref="AI345:AI348"/>
    <mergeCell ref="AJ345:AJ348"/>
    <mergeCell ref="AK345:AK348"/>
    <mergeCell ref="AL345:AL348"/>
    <mergeCell ref="AM345:AM347"/>
    <mergeCell ref="AN345:AN347"/>
    <mergeCell ref="AO345:AO347"/>
    <mergeCell ref="AP345:AP347"/>
    <mergeCell ref="AI349:AI352"/>
    <mergeCell ref="AJ349:AJ352"/>
    <mergeCell ref="AK349:AK352"/>
    <mergeCell ref="AL349:AL352"/>
    <mergeCell ref="AM349:AM351"/>
    <mergeCell ref="AN349:AN351"/>
    <mergeCell ref="AO349:AO351"/>
    <mergeCell ref="AP349:AP351"/>
    <mergeCell ref="AI353:AI356"/>
    <mergeCell ref="AJ353:AJ356"/>
    <mergeCell ref="AK353:AK356"/>
    <mergeCell ref="AL353:AL356"/>
    <mergeCell ref="AM353:AM355"/>
    <mergeCell ref="AN353:AN355"/>
    <mergeCell ref="AO353:AO355"/>
    <mergeCell ref="AP353:AP355"/>
    <mergeCell ref="AI357:AI359"/>
    <mergeCell ref="AJ357:AJ359"/>
    <mergeCell ref="AK357:AK359"/>
    <mergeCell ref="AL357:AL359"/>
    <mergeCell ref="AM357:AM358"/>
    <mergeCell ref="AN357:AN358"/>
    <mergeCell ref="AO357:AO358"/>
    <mergeCell ref="AP357:AP358"/>
    <mergeCell ref="AI360:AI362"/>
    <mergeCell ref="AJ360:AJ362"/>
    <mergeCell ref="AK360:AK362"/>
    <mergeCell ref="AL360:AL362"/>
    <mergeCell ref="AM360:AM361"/>
    <mergeCell ref="AN360:AN361"/>
    <mergeCell ref="AO360:AO361"/>
    <mergeCell ref="AP360:AP361"/>
    <mergeCell ref="K365:K388"/>
    <mergeCell ref="R365:R388"/>
    <mergeCell ref="S365:S388"/>
    <mergeCell ref="T365:T388"/>
    <mergeCell ref="AD365:AD388"/>
    <mergeCell ref="AE365:AE387"/>
    <mergeCell ref="AF365:AF387"/>
    <mergeCell ref="AG365:AG387"/>
    <mergeCell ref="AH365:AH387"/>
    <mergeCell ref="AI365:AI368"/>
    <mergeCell ref="AJ365:AJ368"/>
    <mergeCell ref="AK365:AK368"/>
    <mergeCell ref="AL365:AL368"/>
    <mergeCell ref="AM365:AM367"/>
    <mergeCell ref="AN365:AN367"/>
    <mergeCell ref="AO365:AO367"/>
    <mergeCell ref="AP365:AP367"/>
    <mergeCell ref="AI369:AI372"/>
    <mergeCell ref="AJ369:AJ372"/>
    <mergeCell ref="AK369:AK372"/>
    <mergeCell ref="AL369:AL372"/>
    <mergeCell ref="AM369:AM371"/>
    <mergeCell ref="AN369:AN371"/>
    <mergeCell ref="AO369:AO371"/>
    <mergeCell ref="AP369:AP371"/>
    <mergeCell ref="AI373:AI376"/>
    <mergeCell ref="AJ373:AJ376"/>
    <mergeCell ref="AK373:AK376"/>
    <mergeCell ref="AL373:AL376"/>
    <mergeCell ref="AM373:AM375"/>
    <mergeCell ref="AN373:AN375"/>
    <mergeCell ref="AO373:AO375"/>
    <mergeCell ref="AP373:AP375"/>
    <mergeCell ref="AI377:AI380"/>
    <mergeCell ref="AJ377:AJ380"/>
    <mergeCell ref="AK377:AK380"/>
    <mergeCell ref="AL377:AL380"/>
    <mergeCell ref="AM377:AM379"/>
    <mergeCell ref="AN377:AN379"/>
    <mergeCell ref="AO377:AO379"/>
    <mergeCell ref="AP377:AP379"/>
    <mergeCell ref="AI381:AI383"/>
    <mergeCell ref="AJ381:AJ383"/>
    <mergeCell ref="AK381:AK383"/>
    <mergeCell ref="AL381:AL383"/>
    <mergeCell ref="AM381:AM382"/>
    <mergeCell ref="AN381:AN382"/>
    <mergeCell ref="AO381:AO382"/>
    <mergeCell ref="AP381:AP382"/>
    <mergeCell ref="AI384:AI386"/>
    <mergeCell ref="AJ384:AJ386"/>
    <mergeCell ref="AK384:AK386"/>
    <mergeCell ref="AL384:AL386"/>
    <mergeCell ref="AM384:AM385"/>
    <mergeCell ref="AN384:AN385"/>
    <mergeCell ref="AO384:AO385"/>
    <mergeCell ref="AP384:AP385"/>
    <mergeCell ref="K389:K412"/>
    <mergeCell ref="R389:R412"/>
    <mergeCell ref="S389:S412"/>
    <mergeCell ref="T389:T412"/>
    <mergeCell ref="AD389:AD412"/>
    <mergeCell ref="AE389:AE411"/>
    <mergeCell ref="AF389:AF411"/>
    <mergeCell ref="AG389:AG411"/>
    <mergeCell ref="AH389:AH411"/>
    <mergeCell ref="AI389:AI392"/>
    <mergeCell ref="AJ389:AJ392"/>
    <mergeCell ref="AK389:AK392"/>
    <mergeCell ref="AL389:AL392"/>
    <mergeCell ref="AM389:AM391"/>
    <mergeCell ref="AN389:AN391"/>
    <mergeCell ref="AO389:AO391"/>
    <mergeCell ref="AP389:AP391"/>
    <mergeCell ref="AI393:AI396"/>
    <mergeCell ref="AJ393:AJ396"/>
    <mergeCell ref="AK393:AK396"/>
    <mergeCell ref="AL393:AL396"/>
    <mergeCell ref="AM393:AM395"/>
    <mergeCell ref="AN393:AN395"/>
    <mergeCell ref="AO393:AO395"/>
    <mergeCell ref="AP393:AP395"/>
    <mergeCell ref="AI397:AI400"/>
    <mergeCell ref="AJ397:AJ400"/>
    <mergeCell ref="AK397:AK400"/>
    <mergeCell ref="AL397:AL400"/>
    <mergeCell ref="AM397:AM399"/>
    <mergeCell ref="AN397:AN399"/>
    <mergeCell ref="AO397:AO399"/>
    <mergeCell ref="AP397:AP399"/>
    <mergeCell ref="AI401:AI404"/>
    <mergeCell ref="AJ401:AJ404"/>
    <mergeCell ref="AK401:AK404"/>
    <mergeCell ref="AL401:AL404"/>
    <mergeCell ref="AM401:AM403"/>
    <mergeCell ref="AN401:AN403"/>
    <mergeCell ref="AO401:AO403"/>
    <mergeCell ref="AP401:AP403"/>
    <mergeCell ref="AI405:AI407"/>
    <mergeCell ref="AJ405:AJ407"/>
    <mergeCell ref="AK405:AK407"/>
    <mergeCell ref="AL405:AL407"/>
    <mergeCell ref="AM405:AM406"/>
    <mergeCell ref="AN405:AN406"/>
    <mergeCell ref="AO405:AO406"/>
    <mergeCell ref="AP405:AP406"/>
    <mergeCell ref="AI408:AI410"/>
    <mergeCell ref="AJ408:AJ410"/>
    <mergeCell ref="AK408:AK410"/>
    <mergeCell ref="AL408:AL410"/>
    <mergeCell ref="AM408:AM409"/>
    <mergeCell ref="AN408:AN409"/>
    <mergeCell ref="AO408:AO409"/>
    <mergeCell ref="AP408:AP409"/>
    <mergeCell ref="K413:K436"/>
    <mergeCell ref="R413:R436"/>
    <mergeCell ref="S413:S436"/>
    <mergeCell ref="T413:T436"/>
    <mergeCell ref="AD413:AD436"/>
    <mergeCell ref="AE413:AE435"/>
    <mergeCell ref="AF413:AF435"/>
    <mergeCell ref="AG413:AG435"/>
    <mergeCell ref="AH413:AH435"/>
    <mergeCell ref="AI413:AI416"/>
    <mergeCell ref="AJ413:AJ416"/>
    <mergeCell ref="AK413:AK416"/>
    <mergeCell ref="AL413:AL416"/>
    <mergeCell ref="AM413:AM415"/>
    <mergeCell ref="AN413:AN415"/>
    <mergeCell ref="AO413:AO415"/>
    <mergeCell ref="AP413:AP415"/>
    <mergeCell ref="AI417:AI420"/>
    <mergeCell ref="AJ417:AJ420"/>
    <mergeCell ref="AK417:AK420"/>
    <mergeCell ref="AL417:AL420"/>
    <mergeCell ref="AM417:AM419"/>
    <mergeCell ref="AN417:AN419"/>
    <mergeCell ref="AO417:AO419"/>
    <mergeCell ref="AP417:AP419"/>
    <mergeCell ref="AI421:AI424"/>
    <mergeCell ref="AJ421:AJ424"/>
    <mergeCell ref="AK421:AK424"/>
    <mergeCell ref="AL421:AL424"/>
    <mergeCell ref="AM421:AM423"/>
    <mergeCell ref="AN421:AN423"/>
    <mergeCell ref="AO421:AO423"/>
    <mergeCell ref="AP421:AP423"/>
    <mergeCell ref="AI425:AI428"/>
    <mergeCell ref="AJ425:AJ428"/>
    <mergeCell ref="AK425:AK428"/>
    <mergeCell ref="AL425:AL428"/>
    <mergeCell ref="AM425:AM427"/>
    <mergeCell ref="AN425:AN427"/>
    <mergeCell ref="AO425:AO427"/>
    <mergeCell ref="AP425:AP427"/>
    <mergeCell ref="AI429:AI431"/>
    <mergeCell ref="AJ429:AJ431"/>
    <mergeCell ref="AK429:AK431"/>
    <mergeCell ref="AL429:AL431"/>
    <mergeCell ref="AM429:AM430"/>
    <mergeCell ref="AN429:AN430"/>
    <mergeCell ref="AO429:AO430"/>
    <mergeCell ref="AP429:AP430"/>
    <mergeCell ref="AI432:AI434"/>
    <mergeCell ref="AJ432:AJ434"/>
    <mergeCell ref="AK432:AK434"/>
    <mergeCell ref="AL432:AL434"/>
    <mergeCell ref="AM432:AM433"/>
    <mergeCell ref="AN432:AN433"/>
    <mergeCell ref="AO432:AO433"/>
    <mergeCell ref="AP432:AP433"/>
    <mergeCell ref="K437:K441"/>
    <mergeCell ref="R437:R441"/>
    <mergeCell ref="S437:S441"/>
    <mergeCell ref="T437:T441"/>
    <mergeCell ref="AD437:AD441"/>
    <mergeCell ref="AE437:AE440"/>
    <mergeCell ref="AF437:AF440"/>
    <mergeCell ref="AG437:AG440"/>
    <mergeCell ref="AH437:AH440"/>
    <mergeCell ref="AI437:AI439"/>
    <mergeCell ref="AJ437:AJ439"/>
    <mergeCell ref="AK437:AK439"/>
    <mergeCell ref="AL437:AL439"/>
    <mergeCell ref="AM437:AM438"/>
    <mergeCell ref="AN437:AN438"/>
    <mergeCell ref="AO437:AO438"/>
    <mergeCell ref="AP437:AP438"/>
    <mergeCell ref="K486:K517"/>
    <mergeCell ref="R486:R517"/>
    <mergeCell ref="S486:S517"/>
    <mergeCell ref="T486:T517"/>
    <mergeCell ref="AD486:AD517"/>
    <mergeCell ref="AE486:AE516"/>
    <mergeCell ref="AF486:AF516"/>
    <mergeCell ref="AG486:AG516"/>
    <mergeCell ref="AH486:AH516"/>
    <mergeCell ref="AI486:AI491"/>
    <mergeCell ref="AJ486:AJ491"/>
    <mergeCell ref="AK486:AK491"/>
    <mergeCell ref="AL486:AL491"/>
    <mergeCell ref="AM486:AM490"/>
    <mergeCell ref="AN486:AN490"/>
    <mergeCell ref="AO486:AO490"/>
    <mergeCell ref="AP486:AP490"/>
    <mergeCell ref="K518:K549"/>
    <mergeCell ref="R518:R549"/>
    <mergeCell ref="S518:S549"/>
    <mergeCell ref="T518:T549"/>
    <mergeCell ref="AD518:AD549"/>
    <mergeCell ref="AE518:AE548"/>
    <mergeCell ref="AF518:AF548"/>
    <mergeCell ref="AG518:AG548"/>
    <mergeCell ref="AH518:AH548"/>
    <mergeCell ref="AI518:AI523"/>
    <mergeCell ref="AJ518:AJ523"/>
    <mergeCell ref="AK518:AK523"/>
    <mergeCell ref="AL518:AL523"/>
    <mergeCell ref="AM518:AM522"/>
    <mergeCell ref="AN518:AN522"/>
    <mergeCell ref="AO518:AO522"/>
    <mergeCell ref="AP518:AP522"/>
    <mergeCell ref="K550:K575"/>
    <mergeCell ref="R550:R575"/>
    <mergeCell ref="S550:S575"/>
    <mergeCell ref="T550:T575"/>
    <mergeCell ref="AD550:AD575"/>
    <mergeCell ref="AE550:AE574"/>
    <mergeCell ref="AF550:AF574"/>
    <mergeCell ref="AG550:AG574"/>
    <mergeCell ref="AH550:AH574"/>
    <mergeCell ref="AI550:AI555"/>
    <mergeCell ref="AJ550:AJ555"/>
    <mergeCell ref="AK550:AK555"/>
    <mergeCell ref="AL550:AL555"/>
    <mergeCell ref="AM550:AM554"/>
    <mergeCell ref="AN550:AN554"/>
    <mergeCell ref="AO550:AO554"/>
    <mergeCell ref="AP550:AP554"/>
    <mergeCell ref="K576:K601"/>
    <mergeCell ref="R576:R601"/>
    <mergeCell ref="S576:S601"/>
    <mergeCell ref="T576:T601"/>
    <mergeCell ref="AD576:AD601"/>
    <mergeCell ref="AE576:AE600"/>
    <mergeCell ref="AF576:AF600"/>
    <mergeCell ref="AG576:AG600"/>
    <mergeCell ref="AH576:AH600"/>
    <mergeCell ref="AI576:AI581"/>
    <mergeCell ref="AJ576:AJ581"/>
    <mergeCell ref="AK576:AK581"/>
    <mergeCell ref="AL576:AL581"/>
    <mergeCell ref="AM576:AM580"/>
    <mergeCell ref="AN576:AN580"/>
    <mergeCell ref="AO576:AO580"/>
    <mergeCell ref="AP576:AP580"/>
    <mergeCell ref="K602:K627"/>
    <mergeCell ref="R602:R627"/>
    <mergeCell ref="S602:S627"/>
    <mergeCell ref="T602:T627"/>
    <mergeCell ref="AD602:AD627"/>
    <mergeCell ref="AE602:AE626"/>
    <mergeCell ref="AF602:AF626"/>
    <mergeCell ref="AG602:AG626"/>
    <mergeCell ref="AH602:AH626"/>
    <mergeCell ref="AI602:AI607"/>
    <mergeCell ref="AJ602:AJ607"/>
    <mergeCell ref="AK602:AK607"/>
    <mergeCell ref="AL602:AL607"/>
    <mergeCell ref="AM602:AM606"/>
    <mergeCell ref="AN602:AN606"/>
    <mergeCell ref="AO602:AO606"/>
    <mergeCell ref="AP602:AP606"/>
    <mergeCell ref="K628:K653"/>
    <mergeCell ref="R628:R653"/>
    <mergeCell ref="S628:S653"/>
    <mergeCell ref="T628:T653"/>
    <mergeCell ref="AD628:AD653"/>
    <mergeCell ref="AE628:AE652"/>
    <mergeCell ref="AF628:AF652"/>
    <mergeCell ref="AG628:AG652"/>
    <mergeCell ref="AH628:AH652"/>
    <mergeCell ref="AI628:AI633"/>
    <mergeCell ref="AJ628:AJ633"/>
    <mergeCell ref="AK628:AK633"/>
    <mergeCell ref="AL628:AL633"/>
    <mergeCell ref="AM628:AM632"/>
    <mergeCell ref="AN628:AN632"/>
    <mergeCell ref="AO628:AO632"/>
    <mergeCell ref="AP628:AP632"/>
    <mergeCell ref="K654:K677"/>
    <mergeCell ref="R654:R677"/>
    <mergeCell ref="S654:S677"/>
    <mergeCell ref="T654:T677"/>
    <mergeCell ref="AD654:AD677"/>
    <mergeCell ref="AE654:AE676"/>
    <mergeCell ref="AF654:AF676"/>
    <mergeCell ref="AG654:AG676"/>
    <mergeCell ref="AH654:AH676"/>
    <mergeCell ref="AI654:AI657"/>
    <mergeCell ref="AJ654:AJ657"/>
    <mergeCell ref="AK654:AK657"/>
    <mergeCell ref="AL654:AL657"/>
    <mergeCell ref="AM654:AM656"/>
    <mergeCell ref="AN654:AN656"/>
    <mergeCell ref="AO654:AO656"/>
    <mergeCell ref="AP654:AP656"/>
    <mergeCell ref="K678:K701"/>
    <mergeCell ref="R678:R701"/>
    <mergeCell ref="S678:S701"/>
    <mergeCell ref="T678:T701"/>
    <mergeCell ref="AD678:AD701"/>
    <mergeCell ref="AE678:AE700"/>
    <mergeCell ref="AF678:AF700"/>
    <mergeCell ref="AG678:AG700"/>
    <mergeCell ref="AH678:AH700"/>
    <mergeCell ref="AI678:AI681"/>
    <mergeCell ref="AJ678:AJ681"/>
    <mergeCell ref="AK678:AK681"/>
    <mergeCell ref="AL678:AL681"/>
    <mergeCell ref="AM678:AM680"/>
    <mergeCell ref="AN678:AN680"/>
    <mergeCell ref="AO678:AO680"/>
    <mergeCell ref="AP678:AP680"/>
    <mergeCell ref="K702:K725"/>
    <mergeCell ref="R702:R725"/>
    <mergeCell ref="S702:S725"/>
    <mergeCell ref="T702:T725"/>
    <mergeCell ref="AD702:AD725"/>
    <mergeCell ref="AE702:AE724"/>
    <mergeCell ref="AF702:AF724"/>
    <mergeCell ref="AG702:AG724"/>
    <mergeCell ref="AH702:AH724"/>
    <mergeCell ref="AI702:AI705"/>
    <mergeCell ref="AJ702:AJ705"/>
    <mergeCell ref="AK702:AK705"/>
    <mergeCell ref="AL702:AL705"/>
    <mergeCell ref="AM702:AM704"/>
    <mergeCell ref="AN702:AN704"/>
    <mergeCell ref="AO702:AO704"/>
    <mergeCell ref="AP702:AP704"/>
    <mergeCell ref="K726:K749"/>
    <mergeCell ref="R726:R749"/>
    <mergeCell ref="S726:S749"/>
    <mergeCell ref="T726:T749"/>
    <mergeCell ref="AD726:AD749"/>
    <mergeCell ref="AE726:AE748"/>
    <mergeCell ref="AF726:AF748"/>
    <mergeCell ref="AG726:AG748"/>
    <mergeCell ref="AH726:AH748"/>
    <mergeCell ref="AI726:AI729"/>
    <mergeCell ref="AJ726:AJ729"/>
    <mergeCell ref="AK726:AK729"/>
    <mergeCell ref="AL726:AL729"/>
    <mergeCell ref="AM726:AM728"/>
    <mergeCell ref="AN726:AN728"/>
    <mergeCell ref="AO726:AO728"/>
    <mergeCell ref="AP726:AP728"/>
    <mergeCell ref="K750:K773"/>
    <mergeCell ref="R750:R773"/>
    <mergeCell ref="S750:S773"/>
    <mergeCell ref="T750:T773"/>
    <mergeCell ref="AD750:AD773"/>
    <mergeCell ref="AE750:AE772"/>
    <mergeCell ref="AF750:AF772"/>
    <mergeCell ref="AG750:AG772"/>
    <mergeCell ref="AH750:AH772"/>
    <mergeCell ref="AI750:AI753"/>
    <mergeCell ref="AJ750:AJ753"/>
    <mergeCell ref="AK750:AK753"/>
    <mergeCell ref="AL750:AL753"/>
    <mergeCell ref="AM750:AM752"/>
    <mergeCell ref="AN750:AN752"/>
    <mergeCell ref="AO750:AO752"/>
    <mergeCell ref="AP750:AP752"/>
    <mergeCell ref="K774:K797"/>
    <mergeCell ref="R774:R797"/>
    <mergeCell ref="S774:S797"/>
    <mergeCell ref="T774:T797"/>
    <mergeCell ref="AD774:AD797"/>
    <mergeCell ref="AE774:AE796"/>
    <mergeCell ref="AF774:AF796"/>
    <mergeCell ref="AG774:AG796"/>
    <mergeCell ref="AH774:AH796"/>
    <mergeCell ref="AI774:AI777"/>
    <mergeCell ref="AJ774:AJ777"/>
    <mergeCell ref="AK774:AK777"/>
    <mergeCell ref="AL774:AL777"/>
    <mergeCell ref="AM774:AM776"/>
    <mergeCell ref="AN774:AN776"/>
    <mergeCell ref="AO774:AO776"/>
    <mergeCell ref="AP774:AP776"/>
    <mergeCell ref="K798:K821"/>
    <mergeCell ref="R798:R821"/>
    <mergeCell ref="S798:S821"/>
    <mergeCell ref="T798:T821"/>
    <mergeCell ref="AD798:AD821"/>
    <mergeCell ref="AE798:AE820"/>
    <mergeCell ref="AF798:AF820"/>
    <mergeCell ref="AG798:AG820"/>
    <mergeCell ref="AH798:AH820"/>
    <mergeCell ref="AI798:AI801"/>
    <mergeCell ref="AJ798:AJ801"/>
    <mergeCell ref="AK798:AK801"/>
    <mergeCell ref="AL798:AL801"/>
    <mergeCell ref="AM798:AM800"/>
    <mergeCell ref="AN798:AN800"/>
    <mergeCell ref="AO798:AO800"/>
    <mergeCell ref="AP798:AP800"/>
    <mergeCell ref="K822:K826"/>
    <mergeCell ref="R822:R826"/>
    <mergeCell ref="S822:S826"/>
    <mergeCell ref="T822:T826"/>
    <mergeCell ref="AD822:AD826"/>
    <mergeCell ref="AE822:AE825"/>
    <mergeCell ref="AF822:AF825"/>
    <mergeCell ref="AG822:AG825"/>
    <mergeCell ref="AH822:AH825"/>
    <mergeCell ref="AI822:AI824"/>
    <mergeCell ref="AJ822:AJ824"/>
    <mergeCell ref="AK822:AK824"/>
    <mergeCell ref="AL822:AL824"/>
    <mergeCell ref="AM822:AM823"/>
    <mergeCell ref="AN822:AN823"/>
    <mergeCell ref="AO822:AO823"/>
    <mergeCell ref="AP822:AP823"/>
    <mergeCell ref="AI460:AI463"/>
    <mergeCell ref="AJ460:AJ463"/>
    <mergeCell ref="AK460:AK463"/>
    <mergeCell ref="AL460:AL463"/>
    <mergeCell ref="AM460:AM462"/>
    <mergeCell ref="AN460:AN462"/>
    <mergeCell ref="AO460:AO462"/>
    <mergeCell ref="AP460:AP462"/>
    <mergeCell ref="AI464:AI469"/>
    <mergeCell ref="AJ464:AJ469"/>
    <mergeCell ref="AK464:AK469"/>
    <mergeCell ref="AL464:AL469"/>
    <mergeCell ref="AM464:AM468"/>
    <mergeCell ref="AN464:AN468"/>
    <mergeCell ref="AO464:AO468"/>
    <mergeCell ref="AP464:AP468"/>
    <mergeCell ref="AI470:AI475"/>
    <mergeCell ref="AJ470:AJ475"/>
    <mergeCell ref="AK470:AK475"/>
    <mergeCell ref="AL470:AL475"/>
    <mergeCell ref="AM470:AM474"/>
    <mergeCell ref="AN470:AN474"/>
    <mergeCell ref="AO470:AO474"/>
    <mergeCell ref="AP470:AP474"/>
    <mergeCell ref="AI476:AI479"/>
    <mergeCell ref="AJ476:AJ479"/>
    <mergeCell ref="AK476:AK479"/>
    <mergeCell ref="AL476:AL479"/>
    <mergeCell ref="AM476:AM478"/>
    <mergeCell ref="AN476:AN478"/>
    <mergeCell ref="AO476:AO478"/>
    <mergeCell ref="AP476:AP478"/>
    <mergeCell ref="AI480:AI483"/>
    <mergeCell ref="AJ480:AJ483"/>
    <mergeCell ref="AK480:AK483"/>
    <mergeCell ref="AL480:AL483"/>
    <mergeCell ref="AM480:AM482"/>
    <mergeCell ref="AN480:AN482"/>
    <mergeCell ref="AO480:AO482"/>
    <mergeCell ref="AP480:AP482"/>
    <mergeCell ref="AI492:AI495"/>
    <mergeCell ref="AJ492:AJ495"/>
    <mergeCell ref="AK492:AK495"/>
    <mergeCell ref="AL492:AL495"/>
    <mergeCell ref="AM492:AM494"/>
    <mergeCell ref="AN492:AN494"/>
    <mergeCell ref="AO492:AO494"/>
    <mergeCell ref="AP492:AP494"/>
    <mergeCell ref="AI496:AI501"/>
    <mergeCell ref="AJ496:AJ501"/>
    <mergeCell ref="AK496:AK501"/>
    <mergeCell ref="AL496:AL501"/>
    <mergeCell ref="AM496:AM500"/>
    <mergeCell ref="AN496:AN500"/>
    <mergeCell ref="AO496:AO500"/>
    <mergeCell ref="AP496:AP500"/>
    <mergeCell ref="AI502:AI507"/>
    <mergeCell ref="AJ502:AJ507"/>
    <mergeCell ref="AK502:AK507"/>
    <mergeCell ref="AL502:AL507"/>
    <mergeCell ref="AM502:AM506"/>
    <mergeCell ref="AN502:AN506"/>
    <mergeCell ref="AO502:AO506"/>
    <mergeCell ref="AP502:AP506"/>
    <mergeCell ref="AI508:AI511"/>
    <mergeCell ref="AJ508:AJ511"/>
    <mergeCell ref="AK508:AK511"/>
    <mergeCell ref="AL508:AL511"/>
    <mergeCell ref="AM508:AM510"/>
    <mergeCell ref="AN508:AN510"/>
    <mergeCell ref="AO508:AO510"/>
    <mergeCell ref="AP508:AP510"/>
    <mergeCell ref="AI512:AI515"/>
    <mergeCell ref="AJ512:AJ515"/>
    <mergeCell ref="AK512:AK515"/>
    <mergeCell ref="AL512:AL515"/>
    <mergeCell ref="AM512:AM514"/>
    <mergeCell ref="AN512:AN514"/>
    <mergeCell ref="AO512:AO514"/>
    <mergeCell ref="AP512:AP514"/>
    <mergeCell ref="AI524:AI527"/>
    <mergeCell ref="AJ524:AJ527"/>
    <mergeCell ref="AK524:AK527"/>
    <mergeCell ref="AL524:AL527"/>
    <mergeCell ref="AM524:AM526"/>
    <mergeCell ref="AN524:AN526"/>
    <mergeCell ref="AO524:AO526"/>
    <mergeCell ref="AP524:AP526"/>
    <mergeCell ref="AI528:AI533"/>
    <mergeCell ref="AJ528:AJ533"/>
    <mergeCell ref="AK528:AK533"/>
    <mergeCell ref="AL528:AL533"/>
    <mergeCell ref="AM528:AM532"/>
    <mergeCell ref="AN528:AN532"/>
    <mergeCell ref="AO528:AO532"/>
    <mergeCell ref="AP528:AP532"/>
    <mergeCell ref="AI534:AI539"/>
    <mergeCell ref="AJ534:AJ539"/>
    <mergeCell ref="AK534:AK539"/>
    <mergeCell ref="AL534:AL539"/>
    <mergeCell ref="AM534:AM538"/>
    <mergeCell ref="AN534:AN538"/>
    <mergeCell ref="AO534:AO538"/>
    <mergeCell ref="AP534:AP538"/>
    <mergeCell ref="AI540:AI543"/>
    <mergeCell ref="AJ540:AJ543"/>
    <mergeCell ref="AK540:AK543"/>
    <mergeCell ref="AL540:AL543"/>
    <mergeCell ref="AM540:AM542"/>
    <mergeCell ref="AN540:AN542"/>
    <mergeCell ref="AO540:AO542"/>
    <mergeCell ref="AP540:AP542"/>
    <mergeCell ref="AI544:AI547"/>
    <mergeCell ref="AJ544:AJ547"/>
    <mergeCell ref="AK544:AK547"/>
    <mergeCell ref="AL544:AL547"/>
    <mergeCell ref="AM544:AM546"/>
    <mergeCell ref="AN544:AN546"/>
    <mergeCell ref="AO544:AO546"/>
    <mergeCell ref="AP544:AP546"/>
    <mergeCell ref="AI556:AI559"/>
    <mergeCell ref="AJ556:AJ559"/>
    <mergeCell ref="AK556:AK559"/>
    <mergeCell ref="AL556:AL559"/>
    <mergeCell ref="AM556:AM558"/>
    <mergeCell ref="AN556:AN558"/>
    <mergeCell ref="AO556:AO558"/>
    <mergeCell ref="AP556:AP558"/>
    <mergeCell ref="AI560:AI565"/>
    <mergeCell ref="AJ560:AJ565"/>
    <mergeCell ref="AK560:AK565"/>
    <mergeCell ref="AL560:AL565"/>
    <mergeCell ref="AM560:AM564"/>
    <mergeCell ref="AN560:AN564"/>
    <mergeCell ref="AO560:AO564"/>
    <mergeCell ref="AP560:AP564"/>
    <mergeCell ref="AI566:AI569"/>
    <mergeCell ref="AJ566:AJ569"/>
    <mergeCell ref="AK566:AK569"/>
    <mergeCell ref="AL566:AL569"/>
    <mergeCell ref="AM566:AM568"/>
    <mergeCell ref="AN566:AN568"/>
    <mergeCell ref="AO566:AO568"/>
    <mergeCell ref="AP566:AP568"/>
    <mergeCell ref="AI570:AI573"/>
    <mergeCell ref="AJ570:AJ573"/>
    <mergeCell ref="AK570:AK573"/>
    <mergeCell ref="AL570:AL573"/>
    <mergeCell ref="AM570:AM572"/>
    <mergeCell ref="AN570:AN572"/>
    <mergeCell ref="AO570:AO572"/>
    <mergeCell ref="AP570:AP572"/>
    <mergeCell ref="AI582:AI585"/>
    <mergeCell ref="AJ582:AJ585"/>
    <mergeCell ref="AK582:AK585"/>
    <mergeCell ref="AL582:AL585"/>
    <mergeCell ref="AM582:AM584"/>
    <mergeCell ref="AN582:AN584"/>
    <mergeCell ref="AO582:AO584"/>
    <mergeCell ref="AP582:AP584"/>
    <mergeCell ref="AI586:AI591"/>
    <mergeCell ref="AJ586:AJ591"/>
    <mergeCell ref="AK586:AK591"/>
    <mergeCell ref="AL586:AL591"/>
    <mergeCell ref="AM586:AM590"/>
    <mergeCell ref="AN586:AN590"/>
    <mergeCell ref="AO586:AO590"/>
    <mergeCell ref="AP586:AP590"/>
    <mergeCell ref="AI592:AI595"/>
    <mergeCell ref="AJ592:AJ595"/>
    <mergeCell ref="AK592:AK595"/>
    <mergeCell ref="AL592:AL595"/>
    <mergeCell ref="AM592:AM594"/>
    <mergeCell ref="AN592:AN594"/>
    <mergeCell ref="AO592:AO594"/>
    <mergeCell ref="AP592:AP594"/>
    <mergeCell ref="AI596:AI599"/>
    <mergeCell ref="AJ596:AJ599"/>
    <mergeCell ref="AK596:AK599"/>
    <mergeCell ref="AL596:AL599"/>
    <mergeCell ref="AM596:AM598"/>
    <mergeCell ref="AN596:AN598"/>
    <mergeCell ref="AO596:AO598"/>
    <mergeCell ref="AP596:AP598"/>
    <mergeCell ref="AI608:AI611"/>
    <mergeCell ref="AJ608:AJ611"/>
    <mergeCell ref="AK608:AK611"/>
    <mergeCell ref="AL608:AL611"/>
    <mergeCell ref="AM608:AM610"/>
    <mergeCell ref="AN608:AN610"/>
    <mergeCell ref="AO608:AO610"/>
    <mergeCell ref="AP608:AP610"/>
    <mergeCell ref="AI612:AI617"/>
    <mergeCell ref="AJ612:AJ617"/>
    <mergeCell ref="AK612:AK617"/>
    <mergeCell ref="AL612:AL617"/>
    <mergeCell ref="AM612:AM616"/>
    <mergeCell ref="AN612:AN616"/>
    <mergeCell ref="AO612:AO616"/>
    <mergeCell ref="AP612:AP616"/>
    <mergeCell ref="AI618:AI621"/>
    <mergeCell ref="AJ618:AJ621"/>
    <mergeCell ref="AK618:AK621"/>
    <mergeCell ref="AL618:AL621"/>
    <mergeCell ref="AM618:AM620"/>
    <mergeCell ref="AN618:AN620"/>
    <mergeCell ref="AO618:AO620"/>
    <mergeCell ref="AP618:AP620"/>
    <mergeCell ref="AI622:AI625"/>
    <mergeCell ref="AJ622:AJ625"/>
    <mergeCell ref="AK622:AK625"/>
    <mergeCell ref="AL622:AL625"/>
    <mergeCell ref="AM622:AM624"/>
    <mergeCell ref="AN622:AN624"/>
    <mergeCell ref="AO622:AO624"/>
    <mergeCell ref="AP622:AP624"/>
    <mergeCell ref="AI634:AI637"/>
    <mergeCell ref="AJ634:AJ637"/>
    <mergeCell ref="AK634:AK637"/>
    <mergeCell ref="AL634:AL637"/>
    <mergeCell ref="AM634:AM636"/>
    <mergeCell ref="AN634:AN636"/>
    <mergeCell ref="AO634:AO636"/>
    <mergeCell ref="AP634:AP636"/>
    <mergeCell ref="AI638:AI643"/>
    <mergeCell ref="AJ638:AJ643"/>
    <mergeCell ref="AK638:AK643"/>
    <mergeCell ref="AL638:AL643"/>
    <mergeCell ref="AM638:AM642"/>
    <mergeCell ref="AN638:AN642"/>
    <mergeCell ref="AO638:AO642"/>
    <mergeCell ref="AP638:AP642"/>
    <mergeCell ref="AI644:AI647"/>
    <mergeCell ref="AJ644:AJ647"/>
    <mergeCell ref="AK644:AK647"/>
    <mergeCell ref="AL644:AL647"/>
    <mergeCell ref="AM644:AM646"/>
    <mergeCell ref="AN644:AN646"/>
    <mergeCell ref="AO644:AO646"/>
    <mergeCell ref="AP644:AP646"/>
    <mergeCell ref="AI648:AI651"/>
    <mergeCell ref="AJ648:AJ651"/>
    <mergeCell ref="AK648:AK651"/>
    <mergeCell ref="AL648:AL651"/>
    <mergeCell ref="AM648:AM650"/>
    <mergeCell ref="AN648:AN650"/>
    <mergeCell ref="AO648:AO650"/>
    <mergeCell ref="AP648:AP650"/>
    <mergeCell ref="AI658:AI661"/>
    <mergeCell ref="AJ658:AJ661"/>
    <mergeCell ref="AK658:AK661"/>
    <mergeCell ref="AL658:AL661"/>
    <mergeCell ref="AM658:AM660"/>
    <mergeCell ref="AN658:AN660"/>
    <mergeCell ref="AO658:AO660"/>
    <mergeCell ref="AP658:AP660"/>
    <mergeCell ref="AI662:AI665"/>
    <mergeCell ref="AJ662:AJ665"/>
    <mergeCell ref="AK662:AK665"/>
    <mergeCell ref="AL662:AL665"/>
    <mergeCell ref="AM662:AM664"/>
    <mergeCell ref="AN662:AN664"/>
    <mergeCell ref="AO662:AO664"/>
    <mergeCell ref="AP662:AP664"/>
    <mergeCell ref="AI666:AI669"/>
    <mergeCell ref="AJ666:AJ669"/>
    <mergeCell ref="AK666:AK669"/>
    <mergeCell ref="AL666:AL669"/>
    <mergeCell ref="AM666:AM668"/>
    <mergeCell ref="AN666:AN668"/>
    <mergeCell ref="AO666:AO668"/>
    <mergeCell ref="AP666:AP668"/>
    <mergeCell ref="AI670:AI672"/>
    <mergeCell ref="AJ670:AJ672"/>
    <mergeCell ref="AK670:AK672"/>
    <mergeCell ref="AL670:AL672"/>
    <mergeCell ref="AM670:AM671"/>
    <mergeCell ref="AN670:AN671"/>
    <mergeCell ref="AO670:AO671"/>
    <mergeCell ref="AP670:AP671"/>
    <mergeCell ref="AI673:AI675"/>
    <mergeCell ref="AJ673:AJ675"/>
    <mergeCell ref="AK673:AK675"/>
    <mergeCell ref="AL673:AL675"/>
    <mergeCell ref="AM673:AM674"/>
    <mergeCell ref="AN673:AN674"/>
    <mergeCell ref="AO673:AO674"/>
    <mergeCell ref="AP673:AP674"/>
    <mergeCell ref="AI682:AI685"/>
    <mergeCell ref="AJ682:AJ685"/>
    <mergeCell ref="AK682:AK685"/>
    <mergeCell ref="AL682:AL685"/>
    <mergeCell ref="AM682:AM684"/>
    <mergeCell ref="AN682:AN684"/>
    <mergeCell ref="AO682:AO684"/>
    <mergeCell ref="AP682:AP684"/>
    <mergeCell ref="AI686:AI689"/>
    <mergeCell ref="AJ686:AJ689"/>
    <mergeCell ref="AK686:AK689"/>
    <mergeCell ref="AL686:AL689"/>
    <mergeCell ref="AM686:AM688"/>
    <mergeCell ref="AN686:AN688"/>
    <mergeCell ref="AO686:AO688"/>
    <mergeCell ref="AP686:AP688"/>
    <mergeCell ref="AI690:AI693"/>
    <mergeCell ref="AJ690:AJ693"/>
    <mergeCell ref="AK690:AK693"/>
    <mergeCell ref="AL690:AL693"/>
    <mergeCell ref="AM690:AM692"/>
    <mergeCell ref="AN690:AN692"/>
    <mergeCell ref="AO690:AO692"/>
    <mergeCell ref="AP690:AP692"/>
    <mergeCell ref="AI694:AI696"/>
    <mergeCell ref="AJ694:AJ696"/>
    <mergeCell ref="AK694:AK696"/>
    <mergeCell ref="AL694:AL696"/>
    <mergeCell ref="AM694:AM695"/>
    <mergeCell ref="AN694:AN695"/>
    <mergeCell ref="AO694:AO695"/>
    <mergeCell ref="AP694:AP695"/>
    <mergeCell ref="AI697:AI699"/>
    <mergeCell ref="AJ697:AJ699"/>
    <mergeCell ref="AK697:AK699"/>
    <mergeCell ref="AL697:AL699"/>
    <mergeCell ref="AM697:AM698"/>
    <mergeCell ref="AN697:AN698"/>
    <mergeCell ref="AO697:AO698"/>
    <mergeCell ref="AP697:AP698"/>
    <mergeCell ref="AI706:AI709"/>
    <mergeCell ref="AJ706:AJ709"/>
    <mergeCell ref="AK706:AK709"/>
    <mergeCell ref="AL706:AL709"/>
    <mergeCell ref="AM706:AM708"/>
    <mergeCell ref="AN706:AN708"/>
    <mergeCell ref="AO706:AO708"/>
    <mergeCell ref="AP706:AP708"/>
    <mergeCell ref="AI710:AI713"/>
    <mergeCell ref="AJ710:AJ713"/>
    <mergeCell ref="AK710:AK713"/>
    <mergeCell ref="AL710:AL713"/>
    <mergeCell ref="AM710:AM712"/>
    <mergeCell ref="AN710:AN712"/>
    <mergeCell ref="AO710:AO712"/>
    <mergeCell ref="AP710:AP712"/>
    <mergeCell ref="AI714:AI717"/>
    <mergeCell ref="AJ714:AJ717"/>
    <mergeCell ref="AK714:AK717"/>
    <mergeCell ref="AL714:AL717"/>
    <mergeCell ref="AM714:AM716"/>
    <mergeCell ref="AN714:AN716"/>
    <mergeCell ref="AO714:AO716"/>
    <mergeCell ref="AP714:AP716"/>
    <mergeCell ref="AI718:AI720"/>
    <mergeCell ref="AJ718:AJ720"/>
    <mergeCell ref="AK718:AK720"/>
    <mergeCell ref="AL718:AL720"/>
    <mergeCell ref="AM718:AM719"/>
    <mergeCell ref="AN718:AN719"/>
    <mergeCell ref="AO718:AO719"/>
    <mergeCell ref="AP718:AP719"/>
    <mergeCell ref="AI721:AI723"/>
    <mergeCell ref="AJ721:AJ723"/>
    <mergeCell ref="AK721:AK723"/>
    <mergeCell ref="AL721:AL723"/>
    <mergeCell ref="AM721:AM722"/>
    <mergeCell ref="AN721:AN722"/>
    <mergeCell ref="AO721:AO722"/>
    <mergeCell ref="AP721:AP722"/>
    <mergeCell ref="AI730:AI733"/>
    <mergeCell ref="AJ730:AJ733"/>
    <mergeCell ref="AK730:AK733"/>
    <mergeCell ref="AL730:AL733"/>
    <mergeCell ref="AM730:AM732"/>
    <mergeCell ref="AN730:AN732"/>
    <mergeCell ref="AO730:AO732"/>
    <mergeCell ref="AP730:AP732"/>
    <mergeCell ref="AI734:AI737"/>
    <mergeCell ref="AJ734:AJ737"/>
    <mergeCell ref="AK734:AK737"/>
    <mergeCell ref="AL734:AL737"/>
    <mergeCell ref="AM734:AM736"/>
    <mergeCell ref="AN734:AN736"/>
    <mergeCell ref="AO734:AO736"/>
    <mergeCell ref="AP734:AP736"/>
    <mergeCell ref="AI738:AI741"/>
    <mergeCell ref="AJ738:AJ741"/>
    <mergeCell ref="AK738:AK741"/>
    <mergeCell ref="AL738:AL741"/>
    <mergeCell ref="AM738:AM740"/>
    <mergeCell ref="AN738:AN740"/>
    <mergeCell ref="AO738:AO740"/>
    <mergeCell ref="AP738:AP740"/>
    <mergeCell ref="AI742:AI744"/>
    <mergeCell ref="AJ742:AJ744"/>
    <mergeCell ref="AK742:AK744"/>
    <mergeCell ref="AL742:AL744"/>
    <mergeCell ref="AM742:AM743"/>
    <mergeCell ref="AN742:AN743"/>
    <mergeCell ref="AO742:AO743"/>
    <mergeCell ref="AP742:AP743"/>
    <mergeCell ref="AI745:AI747"/>
    <mergeCell ref="AJ745:AJ747"/>
    <mergeCell ref="AK745:AK747"/>
    <mergeCell ref="AL745:AL747"/>
    <mergeCell ref="AM745:AM746"/>
    <mergeCell ref="AN745:AN746"/>
    <mergeCell ref="AO745:AO746"/>
    <mergeCell ref="AP745:AP746"/>
    <mergeCell ref="AI754:AI757"/>
    <mergeCell ref="AJ754:AJ757"/>
    <mergeCell ref="AK754:AK757"/>
    <mergeCell ref="AL754:AL757"/>
    <mergeCell ref="AM754:AM756"/>
    <mergeCell ref="AN754:AN756"/>
    <mergeCell ref="AO754:AO756"/>
    <mergeCell ref="AP754:AP756"/>
    <mergeCell ref="AI758:AI761"/>
    <mergeCell ref="AJ758:AJ761"/>
    <mergeCell ref="AK758:AK761"/>
    <mergeCell ref="AL758:AL761"/>
    <mergeCell ref="AM758:AM760"/>
    <mergeCell ref="AN758:AN760"/>
    <mergeCell ref="AO758:AO760"/>
    <mergeCell ref="AP758:AP760"/>
    <mergeCell ref="AI762:AI765"/>
    <mergeCell ref="AJ762:AJ765"/>
    <mergeCell ref="AK762:AK765"/>
    <mergeCell ref="AL762:AL765"/>
    <mergeCell ref="AM762:AM764"/>
    <mergeCell ref="AN762:AN764"/>
    <mergeCell ref="AO762:AO764"/>
    <mergeCell ref="AP762:AP764"/>
    <mergeCell ref="AI766:AI768"/>
    <mergeCell ref="AJ766:AJ768"/>
    <mergeCell ref="AK766:AK768"/>
    <mergeCell ref="AL766:AL768"/>
    <mergeCell ref="AM766:AM767"/>
    <mergeCell ref="AN766:AN767"/>
    <mergeCell ref="AO766:AO767"/>
    <mergeCell ref="AP766:AP767"/>
    <mergeCell ref="AI769:AI771"/>
    <mergeCell ref="AJ769:AJ771"/>
    <mergeCell ref="AK769:AK771"/>
    <mergeCell ref="AL769:AL771"/>
    <mergeCell ref="AM769:AM770"/>
    <mergeCell ref="AN769:AN770"/>
    <mergeCell ref="AO769:AO770"/>
    <mergeCell ref="AP769:AP770"/>
    <mergeCell ref="AI778:AI781"/>
    <mergeCell ref="AJ778:AJ781"/>
    <mergeCell ref="AK778:AK781"/>
    <mergeCell ref="AL778:AL781"/>
    <mergeCell ref="AM778:AM780"/>
    <mergeCell ref="AN778:AN780"/>
    <mergeCell ref="AO778:AO780"/>
    <mergeCell ref="AP778:AP780"/>
    <mergeCell ref="AI782:AI785"/>
    <mergeCell ref="AJ782:AJ785"/>
    <mergeCell ref="AK782:AK785"/>
    <mergeCell ref="AL782:AL785"/>
    <mergeCell ref="AM782:AM784"/>
    <mergeCell ref="AN782:AN784"/>
    <mergeCell ref="AO782:AO784"/>
    <mergeCell ref="AP782:AP784"/>
    <mergeCell ref="AI786:AI789"/>
    <mergeCell ref="AJ786:AJ789"/>
    <mergeCell ref="AK786:AK789"/>
    <mergeCell ref="AL786:AL789"/>
    <mergeCell ref="AM786:AM788"/>
    <mergeCell ref="AN786:AN788"/>
    <mergeCell ref="AO786:AO788"/>
    <mergeCell ref="AP786:AP788"/>
    <mergeCell ref="AI790:AI792"/>
    <mergeCell ref="AJ790:AJ792"/>
    <mergeCell ref="AK790:AK792"/>
    <mergeCell ref="AL790:AL792"/>
    <mergeCell ref="AM790:AM791"/>
    <mergeCell ref="AN790:AN791"/>
    <mergeCell ref="AO790:AO791"/>
    <mergeCell ref="AP790:AP791"/>
    <mergeCell ref="AI793:AI795"/>
    <mergeCell ref="AJ793:AJ795"/>
    <mergeCell ref="AK793:AK795"/>
    <mergeCell ref="AL793:AL795"/>
    <mergeCell ref="AM793:AM794"/>
    <mergeCell ref="AN793:AN794"/>
    <mergeCell ref="AO793:AO794"/>
    <mergeCell ref="AP793:AP794"/>
    <mergeCell ref="AI802:AI805"/>
    <mergeCell ref="AJ802:AJ805"/>
    <mergeCell ref="AK802:AK805"/>
    <mergeCell ref="AL802:AL805"/>
    <mergeCell ref="AM802:AM804"/>
    <mergeCell ref="AN802:AN804"/>
    <mergeCell ref="AO802:AO804"/>
    <mergeCell ref="AP802:AP804"/>
    <mergeCell ref="AI806:AI809"/>
    <mergeCell ref="AJ806:AJ809"/>
    <mergeCell ref="AK806:AK809"/>
    <mergeCell ref="AL806:AL809"/>
    <mergeCell ref="AM806:AM808"/>
    <mergeCell ref="AN806:AN808"/>
    <mergeCell ref="AO806:AO808"/>
    <mergeCell ref="AP806:AP808"/>
    <mergeCell ref="AI810:AI813"/>
    <mergeCell ref="AJ810:AJ813"/>
    <mergeCell ref="AK810:AK813"/>
    <mergeCell ref="AL810:AL813"/>
    <mergeCell ref="AM810:AM812"/>
    <mergeCell ref="AN810:AN812"/>
    <mergeCell ref="AO810:AO812"/>
    <mergeCell ref="AP810:AP812"/>
    <mergeCell ref="AI814:AI816"/>
    <mergeCell ref="AJ814:AJ816"/>
    <mergeCell ref="AK814:AK816"/>
    <mergeCell ref="AL814:AL816"/>
    <mergeCell ref="AM814:AM815"/>
    <mergeCell ref="AN814:AN815"/>
    <mergeCell ref="AO814:AO815"/>
    <mergeCell ref="AP814:AP815"/>
    <mergeCell ref="AI817:AI819"/>
    <mergeCell ref="AJ817:AJ819"/>
    <mergeCell ref="AK817:AK819"/>
    <mergeCell ref="AL817:AL819"/>
    <mergeCell ref="AM817:AM818"/>
    <mergeCell ref="AN817:AN818"/>
    <mergeCell ref="AO817:AO818"/>
    <mergeCell ref="AP817:AP818"/>
  </mergeCells>
  <dataValidations count="9">
    <dataValidation type="list" allowBlank="1" showInputMessage="1" showErrorMessage="1" errorTitle="Ошибка" error="Выберите значение из списка" sqref="T66359 T131895 T197431 T262967 T328503 T394039 T459575 T525111 T590647 T656183 T721719 T787255 T852791 T918327 T983863">
      <formula1>kind_of_heat_transfer</formula1>
    </dataValidation>
    <dataValidation type="list" allowBlank="1" showInputMessage="1" showErrorMessage="1" errorTitle="Ошибка" error="Выберите значение из списка" sqref="AD918325:AS918325 AD983861:AS983861 AD66357:AS66357 AD131893:AS131893 AD197429:AS197429 AD262965:AS262965 AD328501:AS328501 AD394037:AS394037 AD459573:AS459573 AD525109:AS525109 AD590645:AS590645 AD656181:AS656181 AD721717:AS721717 AD787253:AS787253 AD852789:AS85278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6359 Z131895 Z197431 Z262967 Z328503 Z394039 Z459575 Z525111 Z590647 Z656183 Z721719 Z787255 Z852791 Z918327 Z983863 AB66359 AB131895 AB197431 AB262967 AB328503 AB394039 AB459575 AB525111 AB590647 AB656183 AB721719 AB787255 AB852791 AB918327 AB983863 Z8 AB8 AX66359 AX131895 AX197431 AX262967 AX328503 AX394039 AX459575 AX525111 AX590647 AX656183 AX721719 AX787255 AX852791 AX918327 AX983863 AZ66359 AZ131895 AZ197431 AZ262967 AZ328503 AZ394039 AZ459575 AZ525111 AZ590647 AZ656183 AZ721719 AZ787255 AZ852791 AZ918327 AZ983863 AX52 AX20 AZ8 AZ52 AX8 AZ20 Z52 AB52 Z69:Z72 AB69:AB72 AX69:AX72 AZ69:AZ72 Z101:Z104 AB101:AB104 AX101:AX104 AZ101:AZ104 Z454:Z457 AB454:AB457 AX454:AX457 AZ454:AZ457 Z75:Z76 AB75:AB76 AX75:AX76 AZ75:AZ76 Z79:Z82 AB79:AB82 AX79:AX82 AZ79:AZ82 Z85:Z88 AB85:AB88 AX85:AX88 AZ85:AZ88 Z91:Z92 AB91:AB92 AX91:AX92 AZ91:AZ92 Z95:Z96 AB95:AB96 AX95:AX96 AZ95:AZ96 Z107:Z108 AB107:AB108 AX107:AX108 AZ107:AZ108 Z111:Z114 AB111:AB114 AX111:AX114 AZ111:AZ114 Z117:Z120 AB117:AB120 AX117:AX120 AZ117:AZ120 Z123:Z124 AB123:AB124 AX123:AX124 AZ123:AZ124 Z127:Z128 AB127:AB128 AX127:AX128 AZ127:AZ128 Z133:Z136 AB133:AB136 AX133:AX136 AZ133:AZ136 Z139:Z140 AB139:AB140 AX139:AX140 AZ139:AZ140 Z143:Z146 AB143:AB146 AX143:AX146 AZ143:AZ146 Z149:Z152 AB149:AB152 AX149:AX152 AZ149:AZ152 Z155:Z156 AB155:AB156 AX155:AX156 AZ155:AZ156 Z159:Z160 AB159:AB160 AX159:AX160 AZ159:AZ160 Z165:Z168 AB165:AB168 AX165:AX168 AZ165:AZ168 Z171:Z172 AB171:AB172 AX171:AX172 AZ171:AZ172 Z175:Z178 AB175:AB178 AX175:AX178 AZ175:AZ178 Z181:Z182 AB181:AB182 AX181:AX182 AZ181:AZ182 Z185:Z186 AB185:AB186 AX185:AX186 AZ185:AZ186 Z191:Z194 AB191:AB194 AX191:AX194 AZ191:AZ194 Z197:Z198 AB197:AB198 AX197:AX198 AZ197:AZ198 Z201:Z204 AB201:AB204 AX201:AX204 AZ201:AZ204 Z207:Z208 AB207:AB208 AX207:AX208 AZ207:AZ208 Z211:Z212 AB211:AB212 AX211:AX212 AZ211:AZ212 Z217:Z220 AB217:AB220 AX217:AX220 AZ217:AZ220 Z223:Z224 AB223:AB224 AX223:AX224 AZ223:AZ224 Z227:Z230 AB227:AB230 AX227:AX230 AZ227:AZ230 Z233:Z234 AB233:AB234 AX233:AX234 AZ233:AZ234 Z237:Z238 AB237:AB238 AX237:AX238 AZ237:AZ238 Z243:Z246 AB243:AB246 AX243:AX246 AZ243:AZ246 Z249:Z250 AB249:AB250 AX249:AX250 AZ249:AZ250 Z253:Z256 AB253:AB256 AX253:AX256 AZ253:AZ256 Z259:Z260 AB259:AB260 AX259:AX260 AZ259:AZ260 Z263:Z264 AB263:AB264 AX263:AX264 AZ263:AZ264 Z269:Z270 AB269:AB270 AX269:AX270 AZ269:AZ270 Z273:Z274 AB273:AB274 AX273:AX274 AZ273:AZ274 Z277:Z278 AB277:AB278 AX277:AX278 AZ277:AZ278 Z281:Z282 AB281:AB282 AX281:AX282 AZ281:AZ282 Z285 AB285 AX285 AZ285 Z288 AB288 AX288 AZ288 Z293:Z294 AB293:AB294 AX293:AX294 AZ293:AZ294 Z297:Z298 AB297:AB298 AX297:AX298 AZ297:AZ298 Z301:Z302 AB301:AB302 AX301:AX302 AZ301:AZ302 Z305:Z306 AB305:AB306 AX305:AX306 AZ305:AZ306 Z309 AB309 AX309 AZ309 Z312 AB312 AX312 AZ312 Z317:Z318 AB317:AB318 AX317:AX318 AZ317:AZ318 Z321:Z322 AB321:AB322 AX321:AX322 AZ321:AZ322 Z325:Z326 AB325:AB326 AX325:AX326 AZ325:AZ326 Z329:Z330 AB329:AB330 AX329:AX330 AZ329:AZ330 Z333 AB333 AX333 AZ333 Z336 AB336 AX336 AZ336 Z341:Z342 AB341:AB342 AX341:AX342 AZ341:AZ342 Z345:Z346 AB345:AB346 AX345:AX346 AZ345:AZ346 Z349:Z350 AB349:AB350 AX349:AX350 AZ349:AZ350 Z353:Z354 AB353:AB354 AX353:AX354 AZ353:AZ354 Z357 AB357 AX357 AZ357 Z360 AB360 AX360 AZ360 Z365:Z366 AB365:AB366 AX365:AX366 AZ365:AZ366 Z369:Z370 AB369:AB370 AX369:AX370 AZ369:AZ370 Z373:Z374 AB373:AB374 AX373:AX374 AZ373:AZ374 Z377:Z378 AB377:AB378 AX377:AX378 AZ377:AZ378 Z381 AB381 AX381 AZ381 Z384 AB384 AX384 AZ384 Z389:Z390 AB389:AB390 AX389:AX390 AZ389:AZ390 Z393:Z394 AB393:AB394 AX393:AX394 AZ393:AZ394 Z397:Z398 AB397:AB398 AX397:AX398 AZ397:AZ398 Z401:Z402 AB401:AB402 AX401:AX402 AZ401:AZ402 Z405 AB405 AX405 AZ405 Z408 AB408 AX408 AZ408 Z413:Z414 AB413:AB414 AX413:AX414 AZ413:AZ414 Z417:Z418 AB417:AB418 AX417:AX418 AZ417:AZ418 Z421:Z422 AB421:AB422 AX421:AX422 AZ421:AZ422 Z425:Z426 AB425:AB426 AX425:AX426 AZ425:AZ426 Z429 AB429 AX429 AZ429 Z432 AB432 AX432 AZ432 Z437 AB437 AX437 AZ437 Z486:Z489 AB486:AB489 AX486:AX489 AZ486:AZ489 Z518:Z521 AB518:AB521 AX518:AX521 AZ518:AZ521 Z550:Z553 AB550:AB553 AX550:AX553 AZ550:AZ553 Z576:Z579 AB576:AB579 AX576:AX579 AZ576:AZ579 Z602:Z605 AB602:AB605 AX602:AX605 AZ602:AZ605 Z628:Z631 AB628:AB631 AX628:AX631 AZ628:AZ631 Z654:Z655 AB654:AB655 AX654:AX655 AZ654:AZ655 Z678:Z679 AB678:AB679 AX678:AX679 AZ678:AZ679 Z702:Z703 AB702:AB703 AX702:AX703 AZ702:AZ703 Z726:Z727 AB726:AB727 AX726:AX727 AZ726:AZ727 Z750:Z751 AB750:AB751 AX750:AX751 AZ750:AZ751 Z774:Z775 AB774:AB775 AX774:AX775 AZ774:AZ775 Z798:Z799 AB798:AB799 AX798:AX799 AZ798:AZ799 Z822 AB822 AX822 AZ822 Z460:Z461 AB460:AB461 AX460:AX461 AZ460:AZ461 Z464:Z467 AB464:AB467 AX464:AX467 AZ464:AZ467 Z470:Z473 AB470:AB473 AX470:AX473 AZ470:AZ473 Z476:Z477 AB476:AB477 AX476:AX477 AZ476:AZ477 Z480:Z481 AB480:AB481 AX480:AX481 AZ480:AZ481 Z492:Z493 AB492:AB493 AX492:AX493 AZ492:AZ493 Z496:Z499 AB496:AB499 AX496:AX499 AZ496:AZ499 Z502:Z505 AB502:AB505 AX502:AX505 AZ502:AZ505 Z508:Z509 AB508:AB509 AX508:AX509 AZ508:AZ509 Z512:Z513 AB512:AB513 AX512:AX513 AZ512:AZ513 Z524:Z525 AB524:AB525 AX524:AX525 AZ524:AZ525 Z528:Z531 AB528:AB531 AX528:AX531 AZ528:AZ531 Z534:Z537 AB534:AB537 AX534:AX537 AZ534:AZ537 Z540:Z541 AB540:AB541 AX540:AX541 AZ540:AZ541 Z544:Z545 AB544:AB545 AX544:AX545 AZ544:AZ545 Z556:Z557 AB556:AB557 AX556:AX557 AZ556:AZ557 Z560:Z563 AB560:AB563 AX560:AX563 AZ560:AZ563 Z566:Z567 AB566:AB567 AX566:AX567 AZ566:AZ567 Z570:Z571 AB570:AB571 AX570:AX571 AZ570:AZ571 Z582:Z583 AB582:AB583 AX582:AX583 AZ582:AZ583 Z586:Z589 AB586:AB589 AX586:AX589 AZ586:AZ589 Z592:Z593 AB592:AB593 AX592:AX593 AZ592:AZ593 Z596:Z597 AB596:AB597 AX596:AX597 AZ596:AZ597 Z608:Z609 AB608:AB609 AX608:AX609 AZ608:AZ609 Z612:Z615 AB612:AB615 AX612:AX615 AZ612:AZ615 Z618:Z619 AB618:AB619 AX618:AX619 AZ618:AZ619 Z622:Z623 AB622:AB623 AX622:AX623 AZ622:AZ623 Z634:Z635 AB634:AB635 AX634:AX635 AZ634:AZ635 Z638:Z641 AB638:AB641 AX638:AX641 AZ638:AZ641 Z644:Z645 AB644:AB645 AX644:AX645 AZ644:AZ645 Z648:Z649 AB648:AB649 AX648:AX649 AZ648:AZ649 Z658:Z659 AB658:AB659 AX658:AX659 AZ658:AZ659 Z662:Z663 AB662:AB663 AX662:AX663 AZ662:AZ663 Z666:Z667 AB666:AB667 AX666:AX667 AZ666:AZ667 Z670 AB670 AX670 AZ670 Z673 AB673 AX673 AZ673 Z682:Z683 AB682:AB683 AX682:AX683 AZ682:AZ683 Z686:Z687 AB686:AB687 AX686:AX687 AZ686:AZ687 Z690:Z691 AB690:AB691 AX690:AX691 AZ690:AZ691 Z694 AB694 AX694 AZ694 Z697 AB697 AX697 AZ697 Z706:Z707 AB706:AB707 AX706:AX707 AZ706:AZ707 Z710:Z711 AB710:AB711 AX710:AX711 AZ710:AZ711 Z714:Z715 AB714:AB715 AX714:AX715 AZ714:AZ715 Z718 AB718 AX718 AZ718 Z721 AB721 AX721 AZ721 Z730:Z731 AB730:AB731 AX730:AX731 AZ730:AZ731 Z734:Z735 AB734:AB735 AX734:AX735 AZ734:AZ735 Z738:Z739 AB738:AB739 AX738:AX739 AZ738:AZ739 Z742 AB742 AX742 AZ742 Z745 AB745 AX745 AZ745 Z754:Z755 AB754:AB755 AX754:AX755 AZ754:AZ755 Z758:Z759 AB758:AB759 AX758:AX759 AZ758:AZ759 Z762:Z763 AB762:AB763 AX762:AX763 AZ762:AZ763 Z766 AB766 AX766 AZ766 Z769 AB769 AX769 AZ769 Z778:Z779 AB778:AB779 AX778:AX779 AZ778:AZ779 Z782:Z783 AB782:AB783 AX782:AX783 AZ782:AZ783 Z786:Z787 AB786:AB787 AX786:AX787 AZ786:AZ787 Z790 AB790 AX790 AZ790 Z793 AB793 AX793 AZ793 Z802:Z803 AB802:AB803 AX802:AX803 AZ802:AZ803 Z806:Z807 AB806:AB807 AX806:AX807 AZ806:AZ807 Z810:Z811 AB810:AB811 AX810:AX811 AZ810:AZ811 Z814 AB814 AX814 AZ814 Z817 AB817 AX817 AZ817"/>
    <dataValidation allowBlank="1" promptTitle="checkPeriodRange" sqref="W131896 W197432 W262968 W328504 W394040 W459576 W525112 W590648 W656184 W721720 W787256 W852792 W918328 W983864 AW56 AU12 BB12 AW66360 AW131896 AW197432 AW262968 AW328504 AW394040 AW459576 AW525112 AW590648 AW656184 AW721720 AW787256 AW852792 AW918328 AW983864 Y66360 Y56 W66360 Y131896 Y197432 Y262968 Y328504 Y394040 Y459576 Y525112 Y590648 Y656184 Y721720 Y787256 Y852792 Y918328 Y983864 AU56 Y12 BB56 W12 AW12 W56 W100 W132 W164 W190 W216 W242 W268 W292 W316 W340 W364 W388 W412 W436 W441 Y100 Y132 Y164 Y190 Y216 Y242 Y268 Y292 Y316 Y340 Y364 Y388 Y412 Y436 Y441 AU100 AU132 AU164 AU190 AU216 AU242 AU268 AU292 AU316 AU340 AU364 AU388 AU412 AU436 AU441 AW100 AW132 AW164 AW190 AW216 AW242 AW268 AW292 AW316 AW340 AW364 AW388 AW412 AW436 AW441 BB100 BB132 BB164 BB190 BB216 BB242 BB268 BB292 BB316 BB340 BB364 BB388 BB412 BB436 BB441 W485 W517 W549 W575 W601 W627 W653 W677 W701 W725 W749 W773 W797 W821 W826 Y485 Y517 Y549 Y575 Y601 Y627 Y653 Y677 Y701 Y725 Y749 Y773 Y797 Y821 Y826 AU485 AU517 AU549 AU575 AU601 AU627 AU653 AU677 AU701 AU725 AU749 AU773 AU797 AU821 AU826 AW485 AW517 AW549 AW575 AW601 AW627 AW653 AW677 AW701 AW725 AW749 AW773 AW797 AW821 AW826 BB485 BB517 BB549 BB575 BB601 BB627 BB653 BB677 BB701 BB725 BB749 BB773 BB797 BB821 BB826"/>
    <dataValidation type="textLength" operator="lessThanOrEqual" allowBlank="1" showInputMessage="1" showErrorMessage="1" errorTitle="Ошибка" error="Допускается ввод не более 900 символов!" sqref="BC66353:BC66360 BC131889:BC131896 BC197425:BC197432 BC262961:BC262968 BC328497:BC328504 BC394033:BC394040 BC459569:BC459576 BC525105:BC525112 BC590641:BC590648 BC656177:BC656184 BC721713:BC721720 BC787249:BC787256 BC852785:BC852792 BC918321:BC918328 BC983857:BC983864 AS8 T8:T12 AS52 T52:T56 T69:T72 AS69:AS72 T73 T74:T98 T99 T100:T441 AS101:AS104 T454:T457 AS454:AS457 T458 T459:T483 T484 T485:T826 AS75:AS76 AS79:AS82 AS85:AS88 AS91:AS92 AS95:AS96 AS107:AS108 AS111:AS114 AS117:AS120 AS123:AS124 AS127:AS128 AS133:AS136 AS139:AS140 AS143:AS146 AS149:AS152 AS155:AS156 AS159:AS160 AS165:AS168 AS171:AS172 AS175:AS178 AS181:AS182 AS185:AS186 AS191:AS194 AS197:AS198 AS201:AS204 AS207:AS208 AS211:AS212 AS217:AS220 AS223:AS224 AS227:AS230 AS233:AS234 AS237:AS238 AS243:AS246 AS249:AS250 AS253:AS256 AS259:AS260 AS263:AS264 AS269:AS270 AS273:AS274 AS277:AS278 AS281:AS282 AS285 AS288 AS293:AS294 AS297:AS298 AS301:AS302 AS305:AS306 AS309 AS312 AS317:AS318 AS321:AS322 AS325:AS326 AS329:AS330 AS333 AS336 AS341:AS342 AS345:AS346 AS349:AS350 AS353:AS354 AS357 AS360 AS365:AS366 AS369:AS370 AS373:AS374 AS377:AS378 AS381 AS384 AS389:AS390 AS393:AS394 AS397:AS398 AS401:AS402 AS405 AS408 AS413:AS414 AS417:AS418 AS421:AS422 AS425:AS426 AS429 AS432 AS437 AS486:AS489 AS518:AS521 AS550:AS553 AS576:AS579 AS602:AS605 AS628:AS631 AS654:AS655 AS678:AS679 AS702:AS703 AS726:AS727 AS750:AS751 AS774:AS775 AS798:AS799 AS822 AS460:AS461 AS464:AS467 AS470:AS473 AS476:AS477 AS480:AS481 AS492:AS493 AS496:AS499 AS502:AS505 AS508:AS509 AS512:AS513 AS524:AS525 AS528:AS531 AS534:AS537 AS540:AS541 AS544:AS545 AS556:AS557 AS560:AS563 AS566:AS567 AS570:AS571 AS582:AS583 AS586:AS589 AS592:AS593 AS596:AS597 AS608:AS609 AS612:AS615 AS618:AS619 AS622:AS623 AS634:AS635 AS638:AS641 AS644:AS645 AS648:AS649 AS658:AS659 AS662:AS663 AS666:AS667 AS670 AS673 AS682:AS683 AS686:AS687 AS690:AS691 AS694 AS697 AS706:AS707 AS710:AS711 AS714:AS715 AS718 AS721 AS730:AS731 AS734:AS735 AS738:AS739 AS742 AS745 AS754:AS755 AS758:AS759 AS762:AS763 AS766 AS769 AS778:AS779 AS782:AS783 AS786:AS787 AS790 AS793 AS802:AS803 AS806:AS807 AS810:AS811 AS814 AS817">
      <formula1>900</formula1>
    </dataValidation>
    <dataValidation allowBlank="1" showInputMessage="1" showErrorMessage="1" prompt="Для выбора выполните двойной щелчок левой клавиши мыши по соответствующей ячейке." sqref="AA66359 AA131895 AA197431 AA262967 AA328503 AA394039 AA459575 AA525111 AA590647 AA656183 AA721719 AA787255 AA852791 AA918327 AA983863 AC131895 AC459575 AC197431 AC262967 AC328503 AC394039 AC525111 AC590647 AC656183 AC721719 AC787255 AC852791 AC918327 AC983863 AC66359 AH52:AH53 AY8 AP52 AK52:AL53 AA8 AY66359 AY131895 AY197431 AY262967 AY328503 AY394039 AY459575 AY525111 AY590647 AY656183 AY721719 AY787255 AY852791 AY918327 AY983863 BA459575 BA197431 BA262967 BA328503 BA394039 BA525111 BA590647 BA656183 BA721719 BA787255 BA852791 BA918327 BA983863 BA66359 BA52 AC8:AD8 BA20 BA8 AY52 AK8:AL9 AD20 AG20:AH20 AK20:AL20 AP20 AY20 AH8:AH9 AP8 BA131895 AC52:AD52 AA52 AA69:AA72 AC69:AC72 AD69:AD72 AH69:AH72 AK69:AK72 AL69:AL72 AP69:AP72 AY69:AY72 BA69:BA72 AH73 AK73 AL73 AA101:AA104 AC101:AC104 AD101:AD104 AH101:AH104 AK101:AK104 AL101:AL104 AP101:AP104 AY101:AY104 BA101:BA104 AH105 AK105 AL105 AA454:AA457 AC454:AC457 AD454:AD457 AH454:AH457 AK454:AK457 AL454:AL457 AP454:AP457 AY454:AY457 BA454:BA457 AH458 AK458 AL458 AA75:AA76 AC75:AC76 AD75:AD76 AH75:AH76 AK75:AK76 AL75:AL76 AP75:AP76 AY75:AY76 BA75:BA76 AH77 AK77 AL77 AA79:AA82 AC79:AC82 AD79:AD82 AH79:AH82 AK79:AK82 AL79:AL82 AP79:AP82 AY79:AY82 BA79:BA82 AH83 AK83 AL83 AA85:AA88 AC85:AC88 AD85:AD88 AH85:AH88 AK85:AK88 AL85:AL88 AP85:AP88 AY85:AY88 BA85:BA88 AH89 AK89 AL89 AA91:AA92 AC91:AC92 AD91:AD92 AH91:AH92 AK91:AK92 AL91:AL92 AP91:AP92 AY91:AY92 BA91:BA92 AH93 AK93 AL93 AA95:AA96 AC95:AC96 AD95:AD96 AH95:AH96 AK95:AK96 AL95:AL96 AP95:AP96 AY95:AY96 BA95:BA96 AH97 AK97 AL97 AA107:AA108 AC107:AC108 AD107:AD108 AH107:AH108 AK107:AK108 AL107:AL108 AP107:AP108 AY107:AY108 BA107:BA108 AH109 AK109 AL109 AA111:AA114 AC111:AC114 AD111:AD114 AH111:AH114 AK111:AK114 AL111:AL114 AP111:AP114 AY111:AY114 BA111:BA114 AH115 AK115 AL115 AA117:AA120 AC117:AC120 AD117:AD120 AH117:AH120 AK117:AK120 AL117:AL120 AP117:AP120 AY117:AY120 BA117:BA120 AH121 AK121 AL121 AA123:AA124 AC123:AC124 AD123:AD124 AH123:AH124 AK123:AK124 AL123:AL124 AP123:AP124 AY123:AY124 BA123:BA124 AH125 AK125 AL125 AA127:AA128 AC127:AC128 AD127:AD128 AH127:AH128 AK127:AK128 AL127:AL128 AP127:AP128 AY127:AY128 BA127:BA128 AH129 AK129 AL129 AA133:AA136 AC133:AC136 AD133:AD136 AH133:AH136 AK133:AK136 AL133:AL136 AP133:AP136 AY133:AY136 BA133:BA136 AH137 AK137 AL137 AA139:AA140 AC139:AC140 AD139:AD140 AH139:AH140 AK139:AK140 AL139:AL140 AP139:AP140 AY139:AY140 BA139:BA140 AH141 AK141 AL141 AA143:AA146 AC143:AC146 AD143:AD146 AH143:AH146 AK143:AK146 AL143:AL146 AP143:AP146 AY143:AY146 BA143:BA146 AH147 AK147 AL147 AA149:AA152 AC149:AC152 AD149:AD152 AH149:AH152 AK149:AK152 AL149:AL152 AP149:AP152 AY149:AY152 BA149:BA152 AH153 AK153 AL153 AA155:AA156 AC155:AC156 AD155:AD156 AH155:AH156 AK155:AK156 AL155:AL156 AP155:AP156 AY155:AY156 BA155:BA156 AH157 AK157 AL157 AA159:AA160 AC159:AC160 AD159:AD160 AH159:AH160 AK159:AK160 AL159:AL160 AP159:AP160 AY159:AY160 BA159:BA160 AH161 AK161 AL161 AA165:AA168 AC165:AC168 AD165:AD168 AH165:AH168 AK165:AK168 AL165:AL168 AP165:AP168 AY165:AY168 BA165:BA168 AH169 AK169 AL169 AA171:AA172 AC171:AC172 AD171:AD172 AH171:AH172 AK171:AK172 AL171:AL172 AP171:AP172 AY171:AY172 BA171:BA172 AH173 AK173 AL173 AA175:AA178 AC175:AC178 AD175:AD178 AH175:AH178 AK175:AK178 AL175:AL178 AP175:AP178 AY175:AY178 BA175:BA178 AH179 AK179 AL179 AA181:AA182 AC181:AC182 AD181:AD182 AH181:AH182 AK181:AK182 AL181:AL182 AP181:AP182 AY181:AY182 BA181:BA182 AH183 AK183 AL183 AA185:AA186 AC185:AC186 AD185:AD186 AH185:AH186 AK185:AK186 AL185:AL186 AP185:AP186 AY185:AY186 BA185:BA186 AH187 AK187 AL187 AA191:AA194 AC191:AC194 AD191:AD194 AH191:AH194 AK191:AK194 AL191:AL194 AP191:AP194 AY191:AY194 BA191:BA194 AH195 AK195 AL195 AA197:AA198 AC197:AC198 AD197:AD198 AH197:AH198 AK197:AK198 AL197:AL198 AP197:AP198 AY197:AY198 BA197:BA198 AH199 AK199 AL199 AA201:AA204 AC201:AC204 AD201:AD204 AH201:AH204 AK201:AK204 AL201:AL204 AP201:AP204 AY201:AY204 BA201:BA204 AH205 AK205 AL205 AA207:AA208 AC207:AC208 AD207:AD208 AH207:AH208 AK207:AK208 AL207:AL208 AP207:AP208 AY207:AY208 BA207:BA208 AH209 AK209 AL209 AA211:AA212 AC211:AC212 AD211:AD212 AH211:AH212 AK211:AK212 AL211:AL212 AP211:AP212 AY211:AY212 BA211:BA212 AH213 AK213 AL213 AA217:AA220 AC217:AC220 AD217:AD220 AH217:AH220 AK217:AK220 AL217:AL220 AP217:AP220 AY217:AY220 BA217:BA220 AH221 AK221 AL221 AA223:AA224 AC223:AC224 AD223:AD224 AH223:AH224 AK223:AK224 AL223:AL224 AP223:AP224 AY223:AY224 BA223:BA224 AH225 AK225 AL225 AA227:AA230 AC227:AC230 AD227:AD230 AH227:AH230 AK227:AK230 AL227:AL230 AP227:AP230 AY227:AY230 BA227:BA230 AH231 AK231 AL231 AA233:AA234 AC233:AC234 AD233:AD234 AH233:AH234 AK233:AK234 AL233:AL234 AP233:AP234 AY233:AY234 BA233:BA234 AH235 AK235 AL235 AA237:AA238 AC237:AC238 AD237:AD238 AH237:AH238 AK237:AK238 AL237:AL238 AP237:AP238 AY237:AY238 BA237:BA238 AH239 AK239 AL239 AA243:AA246 AC243:AC246 AD243:AD246 AH243:AH246 AK243:AK246 AL243:AL246 AP243:AP246 AY243:AY246 BA243:BA246 AH247 AK247 AL247 AA249:AA250 AC249:AC250 AD249:AD250 AH249:AH250 AK249:AK250 AL249:AL250 AP249:AP250 AY249:AY250 BA249:BA250 AH251 AK251 AL251 AA253:AA256 AC253:AC256 AD253:AD256 AH253:AH256 AK253:AK256 AL253:AL256 AP253:AP256 AY253:AY256 BA253:BA256 AH257 AK257 AL257 AA259:AA260 AC259:AC260 AD259:AD260 AH259:AH260 AK259:AK260 AL259:AL260 AP259:AP260 AY259:AY260 BA259:BA260 AH261 AK261 AL261 AA263:AA264 AC263:AC264 AD263:AD264 AH263:AH264 AK263:AK264 AL263:AL264 AP263:AP264 AY263:AY264 BA263:BA264 AH265 AK265 AL265 AA269:AA270 AC269:AC270 AD269:AD270 AH269:AH270 AK269:AK270 AL269:AL270 AP269:AP270 AY269:AY270 BA269:BA270 AH271 AK271 AL271 AA273:AA274 AC273:AC274 AD273:AD274 AH273:AH274 AK273:AK274 AL273:AL274 AP273:AP274 AY273:AY274 BA273:BA274 AH275 AK275 AL275 AA277:AA278 AC277:AC278 AD277:AD278 AH277:AH278 AK277:AK278 AL277:AL278 AP277:AP278 AY277:AY278 BA277:BA278 AH279 AK279 AL279 AA281:AA282 AC281:AC282 AD281:AD282 AH281:AH282 AK281:AK282 AL281:AL282 AP281:AP282 AY281:AY282 BA281:BA282 AH283 AK283 AL283 AA285 AC285 AD285 AH285 AK285 AL285 AP285 AY285 BA285 AH286 AK286 AL286 AA288 AC288 AD288 AH288 AK288 AL288 AP288 AY288 BA288 AH289 AK289 AL289 AA293:AA294 AC293:AC294 AD293:AD294 AH293:AH294 AK293:AK294 AL293:AL294 AP293:AP294 AY293:AY294 BA293:BA294 AH295 AK295 AL295 AA297:AA298 AC297:AC298 AD297:AD298 AH297:AH298 AK297:AK298 AL297:AL298 AP297:AP298 AY297:AY298 BA297:BA298 AH299 AK299 AL299 AA301:AA302 AC301:AC302 AD301:AD302 AH301:AH302 AK301:AK302 AL301:AL302 AP301:AP302 AY301:AY302 BA301:BA302 AH303 AK303 AL303 AA305:AA306 AC305:AC306 AD305:AD306 AH305:AH306 AK305:AK306 AL305:AL306 AP305:AP306 AY305:AY306 BA305:BA306 AH307 AK307 AL307 AA309 AC309 AD309 AH309 AK309 AL309 AP309 AY309 BA309 AH310 AK310 AL310 AA312 AC312 AD312 AH312 AK312 AL312 AP312 AY312 BA312 AH313 AK313 AL313 AA317:AA318 AC317:AC318 AD317:AD318 AH317:AH318 AK317:AK318 AL317:AL318 AP317:AP318 AY317:AY318 BA317:BA318 AH319 AK319 AL319 AA321:AA322 AC321:AC322 AD321:AD322 AH321:AH322 AK321:AK322 AL321:AL322 AP321:AP322 AY321:AY322 BA321:BA322 AH323 AK323 AL323 AA325:AA326 AC325:AC326 AD325:AD326 AH325:AH326 AK325:AK326 AL325:AL326 AP325:AP326 AY325:AY326 BA325:BA326 AH327 AK327 AL327 AA329:AA330 AC329:AC330 AD329:AD330 AH329:AH330 AK329:AK330 AL329:AL330 AP329:AP330 AY329:AY330 BA329:BA330 AH331 AK331 AL331 AA333 AC333 AD333 AH333 AK333 AL333 AP333 AY333 BA333 AH334 AK334 AL334 AA336 AC336 AD336 AH336 AK336 AL336 AP336 AY336 BA336 AH337 AK337 AL337 AA341:AA342 AC341:AC342 AD341:AD342 AH341:AH342 AK341:AK342 AL341:AL342 AP341:AP342 AY341:AY342 BA341:BA342 AH343 AK343 AL343 AA345:AA346 AC345:AC346 AD345:AD346 AH345:AH346 AK345:AK346 AL345:AL346 AP345:AP346 AY345:AY346 BA345:BA346 AH347 AK347 AL347 AA349:AA350 AC349:AC350 AD349:AD350 AH349:AH350 AK349:AK350 AL349:AL350 AP349:AP350 AY349:AY350 BA349:BA350 AH351 AK351 AL351 AA353:AA354 AC353:AC354 AD353:AD354 AH353:AH354 AK353:AK354 AL353:AL354 AP353:AP354 AY353:AY354 BA353:BA354 AH355 AK355 AL355 AA357 AC357 AD357 AH357 AK357 AL357 AP357 AY357 BA357 AH358 AK358 AL358 AA360 AC360 AD360 AH360 AK360 AL360 AP360 AY360 BA360 AH361 AK361 AL361 AA365:AA366 AC365:AC366 AD365:AD366 AH365:AH366 AK365:AK366 AL365:AL366 AP365:AP366 AY365:AY366 BA365:BA366 AH367 AK367 AL367 AA369:AA370 AC369:AC370 AD369:AD370 AH369:AH370 AK369:AK370 AL369:AL370 AP369:AP370 AY369:AY370 BA369:BA370 AH371 AK371 AL371 AA373:AA374 AC373:AC374 AD373:AD374 AH373:AH374 AK373:AK374 AL373:AL374 AP373:AP374 AY373:AY374 BA373:BA374 AH375 AK375 AL375 AA377:AA378 AC377:AC378 AD377:AD378 AH377:AH378 AK377:AK378 AL377:AL378 AP377:AP378 AY377:AY378 BA377:BA378 AH379 AK379 AL379 AA381 AC381 AD381 AH381 AK381 AL381 AP381 AY381 BA381 AH382 AK382 AL382 AA384 AC384 AD384 AH384 AK384 AL384 AP384 AY384 BA384 AH385 AK385 AL385 AA389:AA390 AC389:AC390 AD389:AD390 AH389:AH390 AK389:AK390 AL389:AL390 AP389:AP390 AY389:AY390 BA389:BA390 AH391 AK391 AL391 AA393:AA394 AC393:AC394 AD393:AD394 AH393:AH394 AK393:AK394 AL393:AL394 AP393:AP394 AY393:AY394 BA393:BA394 AH395 AK395 AL395 AA397:AA398 AC397:AC398 AD397:AD398 AH397:AH398 AK397:AK398 AL397:AL398 AP397:AP398 AY397:AY398 BA397:BA398 AH399 AK399 AL399 AA401:AA402 AC401:AC402 AD401:AD402 AH401:AH402 AK401:AK402 AL401:AL402 AP401:AP402 AY401:AY402 BA401:BA402 AH403 AK403 AL403 AA405 AC405 AD405 AH405 AK405 AL405 AP405 AY405 BA405 AH406 AK406 AL406 AA408 AC408 AD408 AH408 AK408 AL408 AP408 AY408 BA408 AH409 AK409 AL409 AA413:AA414 AC413:AC414 AD413:AD414 AH413:AH414 AK413:AK414 AL413:AL414 AP413:AP414 AY413:AY414 BA413:BA414 AH415 AK415 AL415 AA417:AA418 AC417:AC418 AD417:AD418 AH417:AH418 AK417:AK418 AL417:AL418 AP417:AP418 AY417:AY418 BA417:BA418 AH419 AK419 AL419 AA421:AA422 AC421:AC422 AD421:AD422 AH421:AH422 AK421:AK422 AL421:AL422 AP421:AP422 AY421:AY422 BA421:BA422 AH423 AK423 AL423 AA425:AA426 AC425:AC426 AD425:AD426 AH425:AH426 AK425:AK426 AL425:AL426 AP425:AP426 AY425:AY426 BA425:BA426 AH427 AK427 AL427 AA429 AC429 AD429 AH429 AK429 AL429 AP429 AY429 BA429 AH430 AK430 AL430 AA432 AC432 AD432 AH432 AK432 AL432 AP432 AY432 BA432 AH433 AK433 AL433 AA437 AC437 AD437 AH437 AK437 AL437 AP437 AY437 BA437 AH438 AK438 AL438 AA486:AA489 AC486:AC489 AD486:AD489 AH486:AH489 AK486:AK489 AL486:AL489 AP486:AP489 AY486:AY489 BA486:BA489 AH490 AK490 AL490 AA518:AA521 AC518:AC521 AD518:AD521 AH518:AH521 AK518:AK521 AL518:AL521 AP518:AP521 AY518:AY521 BA518:BA521 AH522 AK522 AL522 AA550:AA553 AC550:AC553 AD550:AD553 AH550:AH553 AK550:AK553 AL550:AL553 AP550:AP553 AY550:AY553 BA550:BA553 AH554 AK554 AL554 AA576:AA579 AC576:AC579 AD576:AD579 AH576:AH579 AK576:AK579 AL576:AL579 AP576:AP579 AY576:AY579 BA576:BA579 AH580 AK580 AL580 AA602:AA605 AC602:AC605 AD602:AD605 AH602:AH605 AK602:AK605 AL602:AL605 AP602:AP605 AY602:AY605 BA602:BA605 AH606 AK606 AL606 AA628:AA631 AC628:AC631 AD628:AD631 AH628:AH631 AK628:AK631 AL628:AL631 AP628:AP631 AY628:AY631 BA628:BA631 AH632 AK632 AL632 AA654:AA655 AC654:AC655 AD654:AD655 AH654:AH655 AK654:AK655 AL654:AL655 AP654:AP655 AY654:AY655 BA654:BA655 AH656 AK656 AL656 AA678:AA679 AC678:AC679 AD678:AD679 AH678:AH679 AK678:AK679 AL678:AL679 AP678:AP679 AY678:AY679 BA678:BA679 AH680 AK680 AL680 AA702:AA703 AC702:AC703 AD702:AD703 AH702:AH703 AK702:AK703 AL702:AL703 AP702:AP703 AY702:AY703 BA702:BA703 AH704 AK704 AL704 AA726:AA727 AC726:AC727 AD726:AD727 AH726:AH727 AK726:AK727 AL726:AL727 AP726:AP727 AY726:AY727 BA726:BA727 AH728 AK728 AL728 AA750:AA751 AC750:AC751 AD750:AD751 AH750:AH751 AK750:AK751 AL750:AL751 AP750:AP751 AY750:AY751 BA750:BA751 AH752 AK752 AL752 AA774:AA775 AC774:AC775 AD774:AD775 AH774:AH775 AK774:AK775 AL774:AL775 AP774:AP775 AY774:AY775 BA774:BA775 AH776 AK776 AL776 AA798:AA799 AC798:AC799 AD798:AD799 AH798:AH799 AK798:AK799 AL798:AL799 AP798:AP799 AY798:AY799 BA798:BA799 AH800 AK800 AL800 AA822 AC822 AD822 AH822 AK822 AL822 AP822 AY822 BA822 AH823 AK823 AL823 AA460:AA461 AC460:AC461 AD460:AD461 AH460:AH461 AK460:AK461 AL460:AL461 AP460:AP461 AY460:AY461 BA460:BA461 AH462 AK462 AL462 AA464:AA467 AC464:AC467 AD464:AD467 AH464:AH467 AK464:AK467 AL464:AL467 AP464:AP467 AY464:AY467 BA464:BA467 AH468 AK468 AL468 AA470:AA473 AC470:AC473 AD470:AD473 AH470:AH473 AK470:AK473 AL470:AL473 AP470:AP473 AY470:AY473 BA470:BA473 AH474 AK474 AL474 AA476:AA477 AC476:AC477 AD476:AD477 AH476:AH477 AK476:AK477 AL476:AL477 AP476:AP477 AY476:AY477 BA476:BA477 AH478 AK478 AL478 AA480:AA481 AC480:AC481 AD480:AD481 AH480:AH481 AK480:AK481 AL480:AL481 AP480:AP481 AY480:AY481 BA480:BA481 AH482 AK482 AL482 AA492:AA493 AC492:AC493 AD492:AD493 AH492:AH493 AK492:AK493 AL492:AL493 AP492:AP493 AY492:AY493 BA492:BA493 AH494 AK494 AL494 AA496:AA499 AC496:AC499 AD496:AD499 AH496:AH499 AK496:AK499 AL496:AL499 AP496:AP499 AY496:AY499 BA496:BA499 AH500 AK500 AL500 AA502:AA505 AC502:AC505 AD502:AD505 AH502:AH505 AK502:AK505 AL502:AL505 AP502:AP505 AY502:AY505 BA502:BA505 AH506 AK506 AL506 AA508:AA509 AC508:AC509 AD508:AD509 AH508:AH509 AK508:AK509 AL508:AL509 AP508:AP509 AY508:AY509 BA508:BA509 AH510 AK510 AL510 AA512:AA513 AC512:AC513 AD512:AD513 AH512:AH513 AK512:AK513 AL512:AL513 AP512:AP513 AY512:AY513 BA512:BA513 AH514 AK514 AL514 AA524:AA525 AC524:AC525 AD524:AD525 AH524:AH525 AK524:AK525 AL524:AL525 AP524:AP525 AY524:AY525 BA524:BA525 AH526 AK526 AL526 AA528:AA531 AC528:AC531 AD528:AD531 AH528:AH531 AK528:AK531 AL528:AL531 AP528:AP531 AY528:AY531 BA528:BA531 AH532 AK532 AL532 AA534:AA537 AC534:AC537 AD534:AD537 AH534:AH537 AK534:AK537 AL534:AL537 AP534:AP537 AY534:AY537 BA534:BA537 AH538 AK538 AL538 AA540:AA541 AC540:AC541 AD540:AD541 AH540:AH541 AK540:AK541 AL540:AL541 AP540:AP541 AY540:AY541 BA540:BA541 AH542 AK542 AL542 AA544:AA545 AC544:AC545 AD544:AD545 AH544:AH545 AK544:AK545 AL544:AL545 AP544:AP545 AY544:AY545 BA544:BA545 AH546 AK546 AL546 AA556:AA557 AC556:AC557 AD556:AD557 AH556:AH557 AK556:AK557 AL556:AL557 AP556:AP557 AY556:AY557 BA556:BA557 AH558 AK558 AL558 AA560:AA563 AC560:AC563 AD560:AD563 AH560:AH563 AK560:AK563 AL560:AL563 AP560:AP563 AY560:AY563 BA560:BA563 AH564 AK564 AL564 AA566:AA567 AC566:AC567 AD566:AD567 AH566:AH567 AK566:AK567 AL566:AL567 AP566:AP567 AY566:AY567 BA566:BA567 AH568 AK568 AL568 AA570:AA571 AC570:AC571 AD570:AD571 AH570:AH571 AK570:AK571 AL570:AL571 AP570:AP571 AY570:AY571 BA570:BA571 AH572 AK572 AL572 AA582:AA583 AC582:AC583 AD582:AD583 AH582:AH583 AK582:AK583 AL582:AL583 AP582:AP583 AY582:AY583 BA582:BA583 AH584 AK584 AL584 AA586:AA589 AC586:AC589 AD586:AD589 AH586:AH589 AK586:AK589 AL586:AL589 AP586:AP589 AY586:AY589 BA586:BA589 AH590 AK590 AL590 AA592:AA593 AC592:AC593 AD592:AD593 AH592:AH593 AK592:AK593 AL592:AL593 AP592:AP593 AY592:AY593 BA592:BA593 AH594 AK594 AL594 AA596:AA597 AC596:AC597 AD596:AD597 AH596:AH597 AK596:AK597 AL596:AL597 AP596:AP597 AY596:AY597 BA596:BA597 AH598 AK598 AL598 AA608:AA609 AC608:AC609 AD608:AD609 AH608:AH609 AK608:AK609 AL608:AL609 AP608:AP609 AY608:AY609 BA608:BA609 AH610 AK610 AL610 AA612:AA615 AC612:AC615 AD612:AD615 AH612:AH615 AK612:AK615 AL612:AL615 AP612:AP615 AY612:AY615 BA612:BA615 AH616 AK616 AL616 AA618:AA619 AC618:AC619 AD618:AD619 AH618:AH619 AK618:AK619 AL618:AL619 AP618:AP619 AY618:AY619 BA618:BA619 AH620 AK620 AL620 AA622:AA623 AC622:AC623 AD622:AD623 AH622:AH623 AK622:AK623 AL622:AL623 AP622:AP623 AY622:AY623 BA622:BA623 AH624 AK624 AL624 AA634:AA635 AC634:AC635 AD634:AD635 AH634:AH635 AK634:AK635 AL634:AL635 AP634:AP635 AY634:AY635 BA634:BA635 AH636 AK636 AL636 AA638:AA641 AC638:AC641 AD638:AD641 AH638:AH641 AK638:AK641 AL638:AL641 AP638:AP641 AY638:AY641 BA638:BA641 AH642 AK642 AL642 AA644:AA645 AC644:AC645 AD644:AD645 AH644:AH645 AK644:AK645 AL644:AL645 AP644:AP645 AY644:AY645 BA644:BA645 AH646 AK646 AL646 AA648:AA649 AC648:AC649 AD648:AD649 AH648:AH649 AK648:AK649 AL648:AL649 AP648:AP649 AY648:AY649 BA648:BA649 AH650 AK650 AL650 AA658:AA659 AC658:AC659 AD658:AD659 AH658:AH659 AK658:AK659 AL658:AL659 AP658:AP659 AY658:AY659 BA658:BA659 AH660 AK660 AL660 AA662:AA663 AC662:AC663 AD662:AD663 AH662:AH663 AK662:AK663 AL662:AL663 AP662:AP663 AY662:AY663 BA662:BA663 AH664 AK664 AL664 AA666:AA667 AC666:AC667 AD666:AD667 AH666:AH667 AK666:AK667 AL666:AL667 AP666:AP667 AY666:AY667 BA666:BA667 AH668 AK668 AL668 AA670 AC670 AD670 AH670 AK670 AL670 AP670 AY670 BA670 AH671 AK671 AL671 AA673 AC673 AD673 AH673 AK673 AL673 AP673 AY673 BA673 AH674 AK674 AL674 AA682:AA683 AC682:AC683 AD682:AD683 AH682:AH683 AK682:AK683 AL682:AL683 AP682:AP683 AY682:AY683 BA682:BA683 AH684 AK684 AL684 AA686:AA687 AC686:AC687 AD686:AD687 AH686:AH687 AK686:AK687 AL686:AL687 AP686:AP687 AY686:AY687 BA686:BA687 AH688 AK688 AL688 AA690:AA691 AC690:AC691 AD690:AD691 AH690:AH691 AK690:AK691 AL690:AL691 AP690:AP691 AY690:AY691 BA690:BA691 AH692 AK692 AL692 AA694 AC694 AD694 AH694 AK694 AL694 AP694 AY694 BA694 AH695 AK695 AL695 AA697 AC697 AD697 AH697 AK697 AL697 AP697 AY697 BA697 AH698 AK698 AL698 AA706:AA707 AC706:AC707 AD706:AD707 AH706:AH707 AK706:AK707 AL706:AL707 AP706:AP707 AY706:AY707 BA706:BA707 AH708 AK708 AL708 AA710:AA711 AC710:AC711 AD710:AD711 AH710:AH711 AK710:AK711 AL710:AL711 AP710:AP711 AY710:AY711 BA710:BA711 AH712 AK712 AL712 AA714:AA715 AC714:AC715 AD714:AD715 AH714:AH715 AK714:AK715 AL714:AL715 AP714:AP715 AY714:AY715 BA714:BA715 AH716 AK716 AL716 AA718 AC718 AD718 AH718 AK718 AL718 AP718 AY718 BA718 AH719 AK719 AL719 AA721 AC721 AD721 AH721 AK721 AL721 AP721 AY721 BA721 AH722 AK722 AL722 AA730:AA731 AC730:AC731 AD730:AD731 AH730:AH731 AK730:AK731 AL730:AL731 AP730:AP731 AY730:AY731 BA730:BA731 AH732 AK732 AL732 AA734:AA735 AC734:AC735 AD734:AD735 AH734:AH735 AK734:AK735 AL734:AL735 AP734:AP735 AY734:AY735 BA734:BA735 AH736 AK736 AL736 AA738:AA739 AC738:AC739 AD738:AD739 AH738:AH739 AK738:AK739 AL738:AL739 AP738:AP739 AY738:AY739 BA738:BA739 AH740 AK740 AL740 AA742 AC742 AD742 AH742 AK742 AL742 AP742 AY742 BA742 AH743 AK743 AL743 AA745 AC745 AD745 AH745 AK745 AL745 AP745 AY745 BA745 AH746 AK746 AL746 AA754:AA755 AC754:AC755 AD754:AD755 AH754:AH755 AK754:AK755 AL754:AL755 AP754:AP755 AY754:AY755 BA754:BA755 AH756 AK756 AL756 AA758:AA759 AC758:AC759 AD758:AD759 AH758:AH759 AK758:AK759 AL758:AL759 AP758:AP759 AY758:AY759 BA758:BA759 AH760 AK760 AL760 AA762:AA763 AC762:AC763 AD762:AD763 AH762:AH763 AK762:AK763 AL762:AL763 AP762:AP763 AY762:AY763 BA762:BA763 AH764 AK764 AL764 AA766 AC766 AD766 AH766 AK766 AL766 AP766 AY766 BA766 AH767 AK767 AL767 AA769 AC769 AD769 AH769 AK769 AL769 AP769 AY769 BA769 AH770 AK770 AL770 AA778:AA779 AC778:AC779 AD778:AD779 AH778:AH779 AK778:AK779 AL778:AL779 AP778:AP779 AY778:AY779 BA778:BA779 AH780 AK780 AL780 AA782:AA783 AC782:AC783 AD782:AD783 AH782:AH783 AK782:AK783 AL782:AL783 AP782:AP783 AY782:AY783 BA782:BA783 AH784 AK784 AL784 AA786:AA787 AC786:AC787 AD786:AD787 AH786:AH787 AK786:AK787 AL786:AL787 AP786:AP787 AY786:AY787 BA786:BA787 AH788 AK788 AL788 AA790 AC790 AD790 AH790 AK790 AL790 AP790 AY790 BA790 AH791 AK791 AL791 AA793 AC793 AD793 AH793 AK793 AL793 AP793 AY793 BA793 AH794 AK794 AL794 AA802:AA803 AC802:AC803 AD802:AD803 AH802:AH803 AK802:AK803 AL802:AL803 AP802:AP803 AY802:AY803 BA802:BA803 AH804 AK804 AL804 AA806:AA807 AC806:AC807 AD806:AD807 AH806:AH807 AK806:AK807 AL806:AL807 AP806:AP807 AY806:AY807 BA806:BA807 AH808 AK808 AL808 AA810:AA811 AC810:AC811 AD810:AD811 AH810:AH811 AK810:AK811 AL810:AL811 AP810:AP811 AY810:AY811 BA810:BA811 AH812 AK812 AL812 AA814 AC814 AD814 AH814 AK814 AL814 AP814 AY814 BA814 AH815 AK815 AL815 AA817 AC817 AD817 AH817 AK817 AL817 AP817 AY817 BA817 AH818 AK818 AL818"/>
    <dataValidation type="decimal" allowBlank="1" showErrorMessage="1" errorTitle="Ошибка" error="Допускается ввод только действительных чисел!" sqref="AO52:AO53 AG8:AG11 AO8:AO9 AG52:AG55 AG69:AG72 AO69:AO72 AG73 AO73 AG74:AG98 AG99 AG101:AG104 AO101:AO104 AG105 AO105 AG106:AG130 AG131 AG454:AG457 AO454:AO457 AG458 AO458 AG459:AG483 AG484 AO75:AO76 AO77 AO79:AO82 AO83 AO85:AO88 AO89 AO91:AO92 AO93 AO95:AO96 AO97 AO107:AO108 AO109 AO111:AO114 AO115 AO117:AO120 AO121 AO123:AO124 AO125 AO127:AO128 AO129 AG133:AG136 AO133:AO136 AG137 AO137 AG138:AG162 AG163 AO139:AO140 AO141 AO143:AO146 AO147 AO149:AO152 AO153 AO155:AO156 AO157 AO159:AO160 AO161 AG165:AG168 AO165:AO168 AG169 AO169 AG170:AG188 AG189 AO171:AO172 AO173 AO175:AO178 AO179 AO181:AO182 AO183 AO185:AO186 AO187 AG191:AG194 AO191:AO194 AG195 AO195 AG196:AG214 AG215 AO197:AO198 AO199 AO201:AO204 AO205 AO207:AO208 AO209 AO211:AO212 AO213 AG217:AG220 AO217:AO220 AG221 AO221 AG222:AG240 AG241 AO223:AO224 AO225 AO227:AO230 AO231 AO233:AO234 AO235 AO237:AO238 AO239 AG243:AG246 AO243:AO246 AG247 AO247 AG248:AG266 AG267 AO249:AO250 AO251 AO253:AO256 AO257 AO259:AO260 AO261 AO263:AO264 AO265 AG269:AG270 AO269:AO270 AG271 AO271 AG272:AG290 AG291 AO273:AO274 AO275 AO277:AO278 AO279 AO281:AO282 AO283 AO285 AO286 AO288 AO289 AG293:AG294 AO293:AO294 AG295 AO295 AG296:AG314 AG315 AO297:AO298 AO299 AO301:AO302 AO303 AO305:AO306 AO307 AO309 AO310 AO312 AO313 AG317:AG318 AO317:AO318 AG319 AO319 AG320:AG338 AG339 AO321:AO322 AO323 AO325:AO326 AO327 AO329:AO330 AO331 AO333 AO334 AO336 AO337 AG341:AG342 AO341:AO342 AG343 AO343 AG344:AG362 AG363 AO345:AO346 AO347 AO349:AO350 AO351 AO353:AO354 AO355 AO357 AO358 AO360 AO361 AG365:AG366 AO365:AO366 AG367 AO367 AG368:AG386 AG387 AO369:AO370 AO371 AO373:AO374 AO375 AO377:AO378 AO379 AO381 AO382 AO384 AO385 AG389:AG390 AO389:AO390 AG391 AO391 AG392:AG410 AG411 AO393:AO394 AO395 AO397:AO398 AO399 AO401:AO402 AO403 AO405 AO406 AO408 AO409 AG413:AG414 AO413:AO414 AG415 AO415 AG416:AG434 AG435 AO417:AO418 AO419 AO421:AO422 AO423 AO425:AO426 AO427 AO429 AO430 AO432 AO433 AG437 AO437 AG438 AO438 AG439 AG440 AG486:AG489 AO486:AO489 AG490 AO490 AG491:AG515 AG516 AG518:AG521 AO518:AO521 AG522 AO522 AG523:AG547 AG548 AG550:AG553 AO550:AO553 AG554 AO554 AG555:AG573 AG574 AG576:AG579 AO576:AO579 AG580 AO580 AG581:AG599 AG600 AG602:AG605 AO602:AO605 AG606 AO606 AG607:AG625 AG626 AG628:AG631 AO628:AO631 AG632 AO632 AG633:AG651 AG652 AG654:AG655 AO654:AO655 AG656 AO656 AG657:AG675 AG676 AG678:AG679 AO678:AO679 AG680 AO680 AG681:AG699 AG700 AG702:AG703 AO702:AO703 AG704 AO704 AG705:AG723 AG724 AG726:AG727 AO726:AO727 AG728 AO728 AG729:AG747 AG748 AG750:AG751 AO750:AO751 AG752 AO752 AG753:AG771 AG772 AG774:AG775 AO774:AO775 AG776 AO776 AG777:AG795 AG796 AG798:AG799 AO798:AO799 AG800 AO800 AG801:AG819 AG820 AG822 AO822 AG823 AO823 AG824 AG825 AO460:AO461 AO462 AO464:AO467 AO468 AO470:AO473 AO474 AO476:AO477 AO478 AO480:AO481 AO482 AO492:AO493 AO494 AO496:AO499 AO500 AO502:AO505 AO506 AO508:AO509 AO510 AO512:AO513 AO514 AO524:AO525 AO526 AO528:AO531 AO532 AO534:AO537 AO538 AO540:AO541 AO542 AO544:AO545 AO546 AO556:AO557 AO558 AO560:AO563 AO564 AO566:AO567 AO568 AO570:AO571 AO572 AO582:AO583 AO584 AO586:AO589 AO590 AO592:AO593 AO594 AO596:AO597 AO598 AO608:AO609 AO610 AO612:AO615 AO616 AO618:AO619 AO620 AO622:AO623 AO624 AO634:AO635 AO636 AO638:AO641 AO642 AO644:AO645 AO646 AO648:AO649 AO650 AO658:AO659 AO660 AO662:AO663 AO664 AO666:AO667 AO668 AO670 AO671 AO673 AO674 AO682:AO683 AO684 AO686:AO687 AO688 AO690:AO691 AO692 AO694 AO695 AO697 AO698 AO706:AO707 AO708 AO710:AO711 AO712 AO714:AO715 AO716 AO718 AO719 AO721 AO722 AO730:AO731 AO732 AO734:AO735 AO736 AO738:AO739 AO740 AO742 AO743 AO745 AO746 AO754:AO755 AO756 AO758:AO759 AO760 AO762:AO763 AO764 AO766 AO767 AO769 AO770 AO778:AO779 AO780 AO782:AO783 AO784 AO786:AO787 AO788 AO790 AO791 AO793 AO794 AO802:AO803 AO804 AO806:AO807 AO808 AO810:AO811 AO812 AO814 AO815 AO817 AO818">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862:BB983862 V918326:BB918326 V852790:BB852790 V787254:BB787254 V721718:BB721718 V656182:BB656182 V590646:BB590646 V525110:BB525110 V459574:BB459574 V394038:BB394038 V328502:BB328502 V262966:BB262966 V197430:BB197430 V131894:BB131894 V66358:BB66358">
      <formula1>kind_of_cons</formula1>
    </dataValidation>
    <dataValidation allowBlank="1" sqref="S66361:BC66367 S983865:BC983871 S918329:BC918335 S852793:BC852799 S787257:BC787263 S721721:BC721727 S656185:BC656191 S590649:BC590655 S525113:BC525119 S459577:BC459583 S394041:BC394047 S328505:BC328511 S262969:BC262975 S197433:BC197439 S131897:BC13190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AD60A3-66E5-B6E9-676A-F1648B07C6B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125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413</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414</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553</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554</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496</v>
      </c>
      <c r="U5" s="306"/>
      <c r="V5" s="2356"/>
      <c r="W5" s="2357"/>
      <c r="X5" s="2357"/>
      <c r="Y5" s="2357"/>
      <c r="Z5" s="2357"/>
      <c r="AA5" s="2357"/>
      <c r="AB5" s="2358"/>
      <c r="AC5" s="2359"/>
      <c r="AD5" s="2360"/>
      <c r="AE5" s="2360"/>
      <c r="AF5" s="2360"/>
      <c r="AG5" s="2360"/>
      <c r="AH5" s="2360"/>
      <c r="AI5" s="2360"/>
      <c r="AJ5" s="2361"/>
      <c r="AK5" s="1264" t="s">
        <v>497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422</v>
      </c>
      <c r="P6" s="2263"/>
      <c r="Q6" s="2263">
        <v>1</v>
      </c>
      <c r="R6" s="363"/>
      <c r="S6" s="1499">
        <f>$J6</f>
      </c>
      <c r="T6" s="292" t="s">
        <v>423</v>
      </c>
      <c r="U6" s="306"/>
      <c r="V6" s="2251"/>
      <c r="W6" s="2252"/>
      <c r="X6" s="2252"/>
      <c r="Y6" s="2252"/>
      <c r="Z6" s="2252"/>
      <c r="AA6" s="2252"/>
      <c r="AB6" s="2253"/>
      <c r="AC6" s="2251"/>
      <c r="AD6" s="2252"/>
      <c r="AE6" s="2252"/>
      <c r="AF6" s="2252"/>
      <c r="AG6" s="2252"/>
      <c r="AH6" s="2252"/>
      <c r="AI6" s="2252"/>
      <c r="AJ6" s="2253"/>
      <c r="AK6" s="1313" t="s">
        <v>498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62</v>
      </c>
      <c r="AA7" s="2271"/>
      <c r="AB7" s="2113" t="s">
        <v>62</v>
      </c>
      <c r="AC7" s="757"/>
      <c r="AD7" s="757"/>
      <c r="AE7" s="1263"/>
      <c r="AF7" s="2271"/>
      <c r="AG7" s="2113" t="s">
        <v>62</v>
      </c>
      <c r="AH7" s="2293"/>
      <c r="AI7" s="2113" t="s">
        <v>62</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499</v>
      </c>
      <c r="U9" s="373"/>
      <c r="V9" s="373"/>
      <c r="W9" s="373"/>
      <c r="X9" s="373"/>
      <c r="Y9" s="373"/>
      <c r="Z9" s="373"/>
      <c r="AA9" s="373"/>
      <c r="AB9" s="373"/>
      <c r="AC9" s="373"/>
      <c r="AD9" s="373"/>
      <c r="AE9" s="373"/>
      <c r="AF9" s="373"/>
      <c r="AG9" s="373"/>
      <c r="AH9" s="373"/>
      <c r="AI9" s="373"/>
      <c r="AJ9" s="373"/>
      <c r="AK9" s="1264" t="s">
        <v>500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428</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501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251</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252</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62</v>
      </c>
      <c r="AH15" s="2273"/>
      <c r="AI15" s="2274" t="s">
        <v>62</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431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432</v>
      </c>
      <c r="P20" s="1368"/>
      <c r="Q20" s="1448"/>
      <c r="R20" s="1448"/>
      <c r="S20" s="735"/>
      <c r="T20" s="1166" t="s">
        <v>433</v>
      </c>
      <c r="Z20" s="192" t="s">
        <v>434</v>
      </c>
      <c r="AB20" s="192" t="s">
        <v>435</v>
      </c>
      <c r="AC20" s="1166" t="s">
        <v>433</v>
      </c>
      <c r="AG20" s="192" t="s">
        <v>436</v>
      </c>
      <c r="AI20" s="192" t="s">
        <v>435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1249"/>
      <c r="AQ25" s="1161">
        <v>14</v>
      </c>
    </row>
    <row customHeight="1" ht="14.25">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2257"/>
      <c r="AB27" s="332"/>
      <c r="AC27" s="2257" t="str">
        <f>IF(TITLE_NAME_OR_PR_CHANGE="",IF(TITLE_NAME_OR_PR="","",TITLE_NAME_OR_PR),TITLE_NAME_OR_PR_CHANGE)</f>
        <v>Государственный комитет по ценовой политике Республики Саха (Якутия)</v>
      </c>
      <c r="AD27" s="2257"/>
      <c r="AE27" s="2257"/>
      <c r="AF27" s="2257"/>
      <c r="AG27" s="2257"/>
      <c r="AH27" s="2257"/>
      <c r="AI27" s="332"/>
      <c r="AJ27" s="332"/>
      <c r="AK27" s="286"/>
      <c r="AL27" s="374"/>
      <c r="AM27" s="374"/>
      <c r="AN27" s="374"/>
      <c r="AO27" s="374"/>
      <c r="AP27" s="374"/>
      <c r="AQ27" s="424">
        <v>0</v>
      </c>
    </row>
    <row s="1859" customFormat="1" customHeight="1" ht="18.75">
      <c r="A28" s="1374"/>
      <c r="B28" s="1374"/>
      <c r="C28" s="1374"/>
      <c r="D28" s="1374"/>
      <c r="E28" s="1374"/>
      <c r="F28" s="1374"/>
      <c r="G28" s="1374"/>
      <c r="H28" s="1374"/>
      <c r="I28" s="1374"/>
      <c r="J28" s="1374"/>
      <c r="K28" s="1374"/>
      <c r="L28" s="1375"/>
      <c r="M28" s="1374"/>
      <c r="N28" s="1374"/>
      <c r="O28" s="1374"/>
      <c r="S28" s="2256" t="s">
        <v>437</v>
      </c>
      <c r="T28" s="2256"/>
      <c r="U28" s="1378"/>
      <c r="V28" s="2270" t="str">
        <f>IF(TITLE_DATE_PR_CHANGE="",IF(TITLE_DATE_PR="","",TITLE_DATE_PR),TITLE_DATE_PR_CHANGE)</f>
        <v>46003.502546296295</v>
      </c>
      <c r="W28" s="2270"/>
      <c r="X28" s="2270"/>
      <c r="Y28" s="2270"/>
      <c r="Z28" s="2270"/>
      <c r="AA28" s="2270"/>
      <c r="AB28" s="332"/>
      <c r="AC28" s="2270" t="str">
        <f>IF(TITLE_DATE_PR_CHANGE="",IF(TITLE_DATE_PR="","",TITLE_DATE_PR),TITLE_DATE_PR_CHANGE)</f>
        <v>46003.502546296295</v>
      </c>
      <c r="AD28" s="2270"/>
      <c r="AE28" s="2270"/>
      <c r="AF28" s="2270"/>
      <c r="AG28" s="2270"/>
      <c r="AH28" s="2270"/>
      <c r="AI28" s="332"/>
      <c r="AJ28" s="332"/>
      <c r="AK28" s="286"/>
      <c r="AL28" s="374"/>
      <c r="AM28" s="374"/>
      <c r="AN28" s="374"/>
      <c r="AO28" s="374"/>
      <c r="AP28" s="374"/>
      <c r="AQ28" s="424">
        <v>0</v>
      </c>
    </row>
    <row s="1859" customFormat="1" customHeight="1" ht="18.75">
      <c r="A29" s="1374"/>
      <c r="B29" s="1374"/>
      <c r="C29" s="1374"/>
      <c r="D29" s="1374"/>
      <c r="E29" s="1374"/>
      <c r="F29" s="1374"/>
      <c r="G29" s="1374"/>
      <c r="H29" s="1374"/>
      <c r="I29" s="1374"/>
      <c r="J29" s="1374"/>
      <c r="K29" s="1374"/>
      <c r="L29" s="1375"/>
      <c r="M29" s="1374"/>
      <c r="N29" s="1374"/>
      <c r="O29" s="1374"/>
      <c r="S29" s="2256" t="s">
        <v>438</v>
      </c>
      <c r="T29" s="2256"/>
      <c r="U29" s="1378"/>
      <c r="V29" s="2257" t="str">
        <f>IF(TITLE_NUMBER_PR_CHANGE="",IF(TITLE_NUMBER_PR="","",TITLE_NUMBER_PR),TITLE_NUMBER_PR_CHANGE)</f>
        <v>№ 222</v>
      </c>
      <c r="W29" s="2257"/>
      <c r="X29" s="2257"/>
      <c r="Y29" s="2257"/>
      <c r="Z29" s="2257"/>
      <c r="AA29" s="2257"/>
      <c r="AB29" s="332"/>
      <c r="AC29" s="2257" t="str">
        <f>IF(TITLE_NUMBER_PR_CHANGE="",IF(TITLE_NUMBER_PR="","",TITLE_NUMBER_PR),TITLE_NUMBER_PR_CHANGE)</f>
        <v>№ 222</v>
      </c>
      <c r="AD29" s="2257"/>
      <c r="AE29" s="2257"/>
      <c r="AF29" s="2257"/>
      <c r="AG29" s="2257"/>
      <c r="AH29" s="2257"/>
      <c r="AI29" s="332"/>
      <c r="AJ29" s="332"/>
      <c r="AK29" s="286"/>
      <c r="AL29" s="374"/>
      <c r="AM29" s="374"/>
      <c r="AN29" s="374"/>
      <c r="AO29" s="374"/>
      <c r="AP29" s="374"/>
      <c r="AQ29" s="424">
        <v>0</v>
      </c>
    </row>
    <row s="1859" customFormat="1" customHeight="1" ht="18.75">
      <c r="A30" s="1374"/>
      <c r="B30" s="1374"/>
      <c r="C30" s="1374"/>
      <c r="D30" s="1374"/>
      <c r="E30" s="1374"/>
      <c r="F30" s="1374"/>
      <c r="G30" s="1374"/>
      <c r="H30" s="1374"/>
      <c r="I30" s="1374"/>
      <c r="J30" s="1374"/>
      <c r="K30" s="1374"/>
      <c r="L30" s="1375"/>
      <c r="M30" s="1374"/>
      <c r="N30" s="1374"/>
      <c r="O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2257"/>
      <c r="AB30" s="332"/>
      <c r="AC30" s="2257" t="str">
        <f>IF(TITLE_IST_PUB_CHANGE="",IF(TITLE_IST_PUB="","",TITLE_IST_PUB),TITLE_IST_PUB_CHANGE)</f>
        <v>Официальный интернет-портал правовой информации http://pravo.gov.ru/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439</v>
      </c>
      <c r="T32" s="2256"/>
      <c r="U32" s="1378"/>
      <c r="V32" s="2270" t="str">
        <f>IF(TITLE_DATE_PR_CHANGE="",IF(TITLE_DATE_PR="","",TITLE_DATE_PR),TITLE_DATE_PR_CHANGE)</f>
        <v>46003.502546296295</v>
      </c>
      <c r="W32" s="2270"/>
      <c r="X32" s="2270"/>
      <c r="Y32" s="2270"/>
      <c r="Z32" s="2270"/>
      <c r="AA32" s="2270"/>
      <c r="AB32" s="332"/>
      <c r="AC32" s="2270" t="str">
        <f>IF(TITLE_DATE_PR_CHANGE="",IF(TITLE_DATE_PR="","",TITLE_DATE_PR),TITLE_DATE_PR_CHANGE)</f>
        <v>46003.502546296295</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440</v>
      </c>
      <c r="T33" s="2256"/>
      <c r="U33" s="1378"/>
      <c r="V33" s="2257" t="str">
        <f>IF(TITLE_NUMBER_PR_CHANGE="",IF(TITLE_NUMBER_PR="","",TITLE_NUMBER_PR),TITLE_NUMBER_PR_CHANGE)</f>
        <v>№ 222</v>
      </c>
      <c r="W33" s="2257"/>
      <c r="X33" s="2257"/>
      <c r="Y33" s="2257"/>
      <c r="Z33" s="2257"/>
      <c r="AA33" s="2257"/>
      <c r="AB33" s="332"/>
      <c r="AC33" s="2257" t="str">
        <f>IF(TITLE_NUMBER_PR_CHANGE="",IF(TITLE_NUMBER_PR="","",TITLE_NUMBER_PR),TITLE_NUMBER_PR_CHANGE)</f>
        <v>№ 222</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441</v>
      </c>
      <c r="AC34" s="332"/>
      <c r="AD34" s="332"/>
      <c r="AE34" s="332"/>
      <c r="AF34" s="332"/>
      <c r="AG34" s="332"/>
      <c r="AH34" s="332"/>
      <c r="AI34" s="284" t="s">
        <v>441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316</v>
      </c>
      <c r="T36" s="2133"/>
      <c r="U36" s="2133"/>
      <c r="V36" s="2133"/>
      <c r="W36" s="2133"/>
      <c r="X36" s="2133"/>
      <c r="Y36" s="2133"/>
      <c r="Z36" s="2133"/>
      <c r="AA36" s="2133"/>
      <c r="AB36" s="2133"/>
      <c r="AC36" s="2133"/>
      <c r="AD36" s="2133"/>
      <c r="AE36" s="2133"/>
      <c r="AF36" s="2133"/>
      <c r="AG36" s="2133"/>
      <c r="AH36" s="2133"/>
      <c r="AI36" s="2133"/>
      <c r="AJ36" s="2133"/>
      <c r="AK36" s="2133" t="s">
        <v>317</v>
      </c>
      <c r="AQ36" s="1161">
        <v>14</v>
      </c>
    </row>
    <row customHeight="1" ht="14.699999999999998">
      <c r="Q37" s="382"/>
      <c r="R37" s="382"/>
      <c r="S37" s="2279" t="s">
        <v>89</v>
      </c>
      <c r="T37" s="2215" t="s">
        <v>442</v>
      </c>
      <c r="U37" s="307"/>
      <c r="V37" s="2280" t="s">
        <v>443</v>
      </c>
      <c r="W37" s="2281"/>
      <c r="X37" s="2281"/>
      <c r="Y37" s="2281"/>
      <c r="Z37" s="2281"/>
      <c r="AA37" s="2282"/>
      <c r="AB37" s="2283" t="s">
        <v>444</v>
      </c>
      <c r="AC37" s="2280" t="s">
        <v>443</v>
      </c>
      <c r="AD37" s="2281"/>
      <c r="AE37" s="2281"/>
      <c r="AF37" s="2281"/>
      <c r="AG37" s="2281"/>
      <c r="AH37" s="2282"/>
      <c r="AI37" s="2283" t="s">
        <v>445</v>
      </c>
      <c r="AJ37" s="2286" t="s">
        <v>446</v>
      </c>
      <c r="AK37" s="2133"/>
      <c r="AQ37" s="1161">
        <v>14</v>
      </c>
    </row>
    <row customHeight="1" ht="35.699999999999996">
      <c r="Q38" s="382"/>
      <c r="R38" s="382"/>
      <c r="S38" s="2279"/>
      <c r="T38" s="2215"/>
      <c r="U38" s="1037"/>
      <c r="V38" s="1489" t="s">
        <v>502</v>
      </c>
      <c r="W38" s="2268" t="s">
        <v>449</v>
      </c>
      <c r="X38" s="2269"/>
      <c r="Y38" s="2268" t="s">
        <v>450</v>
      </c>
      <c r="Z38" s="2275"/>
      <c r="AA38" s="2269"/>
      <c r="AB38" s="2284"/>
      <c r="AC38" s="1489" t="s">
        <v>502</v>
      </c>
      <c r="AD38" s="2268" t="s">
        <v>449</v>
      </c>
      <c r="AE38" s="2269"/>
      <c r="AF38" s="2268" t="s">
        <v>450</v>
      </c>
      <c r="AG38" s="2275"/>
      <c r="AH38" s="2269"/>
      <c r="AI38" s="2284"/>
      <c r="AJ38" s="2287"/>
      <c r="AK38" s="2133"/>
      <c r="AQ38" s="1161">
        <v>34</v>
      </c>
    </row>
    <row customHeight="1" ht="90.3">
      <c r="A39" s="1376"/>
      <c r="B39" s="1376" t="s">
        <v>137</v>
      </c>
      <c r="C39" s="1376" t="s">
        <v>138</v>
      </c>
      <c r="D39" s="1376" t="s">
        <v>139</v>
      </c>
      <c r="E39" s="1370" t="s">
        <v>451</v>
      </c>
      <c r="F39" s="1370" t="s">
        <v>452</v>
      </c>
      <c r="G39" s="1370" t="s">
        <v>453</v>
      </c>
      <c r="H39" s="1370"/>
      <c r="I39" s="1370" t="s">
        <v>503</v>
      </c>
      <c r="J39" s="1370" t="s">
        <v>456</v>
      </c>
      <c r="K39" s="1370" t="s">
        <v>504</v>
      </c>
      <c r="L39" s="1370" t="s">
        <v>432</v>
      </c>
      <c r="Q39" s="382"/>
      <c r="R39" s="382"/>
      <c r="S39" s="2279"/>
      <c r="T39" s="2215"/>
      <c r="U39" s="308"/>
      <c r="V39" s="1489" t="s">
        <v>555</v>
      </c>
      <c r="W39" s="1228" t="s">
        <v>556</v>
      </c>
      <c r="X39" s="1228" t="s">
        <v>507</v>
      </c>
      <c r="Y39" s="1495" t="s">
        <v>460</v>
      </c>
      <c r="Z39" s="2276" t="s">
        <v>461</v>
      </c>
      <c r="AA39" s="2277"/>
      <c r="AB39" s="2285"/>
      <c r="AC39" s="1489" t="s">
        <v>555</v>
      </c>
      <c r="AD39" s="1228" t="s">
        <v>556</v>
      </c>
      <c r="AE39" s="1228" t="s">
        <v>507</v>
      </c>
      <c r="AF39" s="1495" t="s">
        <v>460</v>
      </c>
      <c r="AG39" s="2276" t="s">
        <v>461</v>
      </c>
      <c r="AH39" s="2277"/>
      <c r="AI39" s="2285"/>
      <c r="AJ39" s="2288"/>
      <c r="AK39" s="2133"/>
      <c r="AQ39" s="1161">
        <v>86</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111</v>
      </c>
      <c r="T40" s="1261" t="s">
        <v>112</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282</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125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282</v>
      </c>
      <c r="B42" s="1369" t="s">
        <v>283</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413</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414</v>
      </c>
      <c r="AM42" s="506"/>
      <c r="AN42" s="506" t="str">
        <f>IF(T42="","",T42)</f>
        <v>Территория действия тарифа</v>
      </c>
      <c r="AO42" s="506"/>
      <c r="AP42" s="506"/>
      <c r="AQ42" s="1161">
        <v>23</v>
      </c>
    </row>
    <row customHeight="1" ht="24">
      <c r="A43" s="1369" t="s">
        <v>282</v>
      </c>
      <c r="B43" s="1369" t="s">
        <v>283</v>
      </c>
      <c r="C43" s="1369" t="s">
        <v>284</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553</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554</v>
      </c>
      <c r="AM43" s="506"/>
      <c r="AN43" s="506" t="str">
        <f>IF(T43="","",T43)</f>
        <v>Наименование централизованной системы водоотведения</v>
      </c>
      <c r="AO43" s="506"/>
      <c r="AP43" s="506"/>
      <c r="AQ43" s="1161">
        <v>23</v>
      </c>
    </row>
    <row customHeight="1" ht="24">
      <c r="A44" s="1369" t="s">
        <v>282</v>
      </c>
      <c r="B44" s="1369" t="s">
        <v>283</v>
      </c>
      <c r="C44" s="1369" t="s">
        <v>284</v>
      </c>
      <c r="D44" s="1369" t="s">
        <v>557</v>
      </c>
      <c r="E44" s="2265"/>
      <c r="F44" s="2265"/>
      <c r="G44" s="2265"/>
      <c r="H44" s="2265"/>
      <c r="I44" s="2262" t="str">
        <f>S43&amp;".1"</f>
        <v>...1</v>
      </c>
      <c r="J44" s="1369"/>
      <c r="K44" s="1369"/>
      <c r="L44" s="1370"/>
      <c r="P44" s="2263">
        <v>1</v>
      </c>
      <c r="Q44" s="1487"/>
      <c r="R44" s="362"/>
      <c r="S44" s="1499" t="str">
        <f>$I44</f>
        <v>...1</v>
      </c>
      <c r="T44" s="291" t="s">
        <v>496</v>
      </c>
      <c r="U44" s="306"/>
      <c r="V44" s="2356"/>
      <c r="W44" s="2357"/>
      <c r="X44" s="2357"/>
      <c r="Y44" s="2357"/>
      <c r="Z44" s="2357"/>
      <c r="AA44" s="2357"/>
      <c r="AB44" s="2358"/>
      <c r="AC44" s="2359"/>
      <c r="AD44" s="2360"/>
      <c r="AE44" s="2360"/>
      <c r="AF44" s="2360"/>
      <c r="AG44" s="2360"/>
      <c r="AH44" s="2360"/>
      <c r="AI44" s="2360"/>
      <c r="AJ44" s="2361"/>
      <c r="AK44" s="1264" t="s">
        <v>497</v>
      </c>
      <c r="AM44" s="506"/>
      <c r="AN44" s="506" t="str">
        <f>IF(T44="","",T44)</f>
        <v>Наименование признака дифференциации</v>
      </c>
      <c r="AO44" s="506"/>
      <c r="AP44" s="506"/>
      <c r="AQ44" s="1161">
        <v>23</v>
      </c>
    </row>
    <row customHeight="1" ht="24">
      <c r="A45" s="1369" t="s">
        <v>282</v>
      </c>
      <c r="B45" s="1369" t="s">
        <v>283</v>
      </c>
      <c r="C45" s="1369" t="s">
        <v>284</v>
      </c>
      <c r="D45" s="1369" t="s">
        <v>557</v>
      </c>
      <c r="E45" s="2265"/>
      <c r="F45" s="2265"/>
      <c r="G45" s="2265"/>
      <c r="H45" s="2265"/>
      <c r="I45" s="2292"/>
      <c r="J45" s="2262" t="str">
        <f>I44&amp;".1"</f>
        <v>...1.1</v>
      </c>
      <c r="K45" s="1369"/>
      <c r="L45" s="1370" t="s">
        <v>422</v>
      </c>
      <c r="P45" s="2263"/>
      <c r="Q45" s="2263">
        <v>1</v>
      </c>
      <c r="R45" s="363"/>
      <c r="S45" s="1499" t="str">
        <f>$J45</f>
        <v>...1.1</v>
      </c>
      <c r="T45" s="292" t="s">
        <v>423</v>
      </c>
      <c r="U45" s="306"/>
      <c r="V45" s="2251"/>
      <c r="W45" s="2252"/>
      <c r="X45" s="2252"/>
      <c r="Y45" s="2252"/>
      <c r="Z45" s="2252"/>
      <c r="AA45" s="2252"/>
      <c r="AB45" s="2253"/>
      <c r="AC45" s="2251"/>
      <c r="AD45" s="2252"/>
      <c r="AE45" s="2252"/>
      <c r="AF45" s="2252"/>
      <c r="AG45" s="2252"/>
      <c r="AH45" s="2252"/>
      <c r="AI45" s="2252"/>
      <c r="AJ45" s="2253"/>
      <c r="AK45" s="1313" t="s">
        <v>498</v>
      </c>
      <c r="AM45" s="506"/>
      <c r="AN45" s="506" t="str">
        <f>IF(T45="","",T45)</f>
        <v>Группа потребителей</v>
      </c>
      <c r="AO45" s="506"/>
      <c r="AP45" s="506"/>
      <c r="AQ45" s="1161">
        <v>23</v>
      </c>
    </row>
    <row customHeight="1" ht="24">
      <c r="A46" s="1369" t="s">
        <v>282</v>
      </c>
      <c r="B46" s="1369" t="s">
        <v>283</v>
      </c>
      <c r="C46" s="1369" t="s">
        <v>284</v>
      </c>
      <c r="D46" s="1369" t="s">
        <v>557</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62</v>
      </c>
      <c r="AA46" s="2273"/>
      <c r="AB46" s="2274" t="s">
        <v>62</v>
      </c>
      <c r="AC46" s="757"/>
      <c r="AD46" s="757"/>
      <c r="AE46" s="1263"/>
      <c r="AF46" s="2271"/>
      <c r="AG46" s="2113" t="s">
        <v>62</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282</v>
      </c>
      <c r="B47" s="1369" t="s">
        <v>283</v>
      </c>
      <c r="C47" s="1369" t="s">
        <v>284</v>
      </c>
      <c r="D47" s="1369" t="s">
        <v>557</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282</v>
      </c>
      <c r="B48" s="1369" t="s">
        <v>283</v>
      </c>
      <c r="C48" s="1369" t="s">
        <v>284</v>
      </c>
      <c r="D48" s="1369" t="s">
        <v>557</v>
      </c>
      <c r="E48" s="2265"/>
      <c r="F48" s="2265"/>
      <c r="G48" s="2265"/>
      <c r="H48" s="2265"/>
      <c r="I48" s="2292"/>
      <c r="J48" s="2262"/>
      <c r="K48" s="1369"/>
      <c r="L48" s="1370"/>
      <c r="P48" s="2263"/>
      <c r="Q48" s="2263"/>
      <c r="R48" s="362"/>
      <c r="S48" s="1284"/>
      <c r="T48" s="293" t="s">
        <v>499</v>
      </c>
      <c r="U48" s="373"/>
      <c r="V48" s="373"/>
      <c r="W48" s="373"/>
      <c r="X48" s="373"/>
      <c r="Y48" s="373"/>
      <c r="Z48" s="373"/>
      <c r="AA48" s="373"/>
      <c r="AB48" s="373"/>
      <c r="AC48" s="373"/>
      <c r="AD48" s="373"/>
      <c r="AE48" s="373"/>
      <c r="AF48" s="373"/>
      <c r="AG48" s="373"/>
      <c r="AH48" s="373"/>
      <c r="AI48" s="373"/>
      <c r="AJ48" s="373"/>
      <c r="AK48" s="1264" t="s">
        <v>500</v>
      </c>
      <c r="AM48" s="506"/>
      <c r="AN48" s="506" t="str">
        <f>IF(T48="","",T48)</f>
        <v>Добавить значение признака дифференциации</v>
      </c>
      <c r="AO48" s="506"/>
      <c r="AP48" s="506"/>
      <c r="AQ48" s="1161">
        <v>20</v>
      </c>
    </row>
    <row customHeight="1" ht="22.049999999999997">
      <c r="A49" s="1369" t="s">
        <v>282</v>
      </c>
      <c r="B49" s="1369" t="s">
        <v>283</v>
      </c>
      <c r="C49" s="1369" t="s">
        <v>284</v>
      </c>
      <c r="D49" s="1369" t="s">
        <v>557</v>
      </c>
      <c r="E49" s="2265"/>
      <c r="F49" s="2265"/>
      <c r="G49" s="2265"/>
      <c r="H49" s="2265"/>
      <c r="I49" s="2262"/>
      <c r="J49" s="1369"/>
      <c r="K49" s="1369"/>
      <c r="L49" s="1370"/>
      <c r="P49" s="2263"/>
      <c r="Q49" s="1487"/>
      <c r="R49" s="362"/>
      <c r="S49" s="1284"/>
      <c r="T49" s="371" t="s">
        <v>428</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282</v>
      </c>
      <c r="B50" s="1369" t="s">
        <v>283</v>
      </c>
      <c r="C50" s="1369" t="s">
        <v>284</v>
      </c>
      <c r="D50" s="1369" t="s">
        <v>557</v>
      </c>
      <c r="E50" s="2265"/>
      <c r="F50" s="2265"/>
      <c r="G50" s="2265"/>
      <c r="H50" s="2264"/>
      <c r="I50" s="1369"/>
      <c r="J50" s="1369"/>
      <c r="K50" s="1369"/>
      <c r="L50" s="1370"/>
      <c r="M50" s="1371"/>
      <c r="N50" s="1371"/>
      <c r="O50" s="543"/>
      <c r="P50" s="366"/>
      <c r="Q50" s="381"/>
      <c r="R50" s="361"/>
      <c r="S50" s="1284"/>
      <c r="T50" s="378" t="s">
        <v>501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282</v>
      </c>
      <c r="B51" s="1349" t="s">
        <v>283</v>
      </c>
      <c r="C51" s="1320"/>
      <c r="D51" s="1320"/>
      <c r="E51" s="2265"/>
      <c r="F51" s="2264"/>
      <c r="G51" s="1320"/>
      <c r="H51" s="1320"/>
      <c r="I51" s="1320"/>
      <c r="J51" s="1320"/>
      <c r="K51" s="1320"/>
      <c r="L51" s="1500"/>
      <c r="M51" s="1327"/>
      <c r="N51" s="1327"/>
      <c r="P51" s="1322"/>
      <c r="Q51" s="1323"/>
      <c r="R51" s="1322"/>
      <c r="S51" s="1328"/>
      <c r="T51" s="1331" t="s">
        <v>251</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282</v>
      </c>
      <c r="B52" s="1349"/>
      <c r="C52" s="1349"/>
      <c r="D52" s="1349"/>
      <c r="E52" s="2264"/>
      <c r="F52" s="1349"/>
      <c r="G52" s="1349"/>
      <c r="H52" s="1349"/>
      <c r="I52" s="1349"/>
      <c r="J52" s="1349"/>
      <c r="K52" s="1349"/>
      <c r="L52" s="1352"/>
      <c r="M52" s="1327"/>
      <c r="N52" s="1327"/>
      <c r="O52" s="524"/>
      <c r="P52" s="386"/>
      <c r="Q52" s="1350"/>
      <c r="R52" s="386"/>
      <c r="S52" s="1328"/>
      <c r="T52" s="1331" t="s">
        <v>252</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264</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83</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D0A184-D9CA-C1EA-CB66-02B7FBE7E76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125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413</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414</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553</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554</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496</v>
      </c>
      <c r="U5" s="306"/>
      <c r="V5" s="2356"/>
      <c r="W5" s="2357"/>
      <c r="X5" s="2357"/>
      <c r="Y5" s="2357"/>
      <c r="Z5" s="2357"/>
      <c r="AA5" s="2357"/>
      <c r="AB5" s="2358"/>
      <c r="AC5" s="2359"/>
      <c r="AD5" s="2360"/>
      <c r="AE5" s="2360"/>
      <c r="AF5" s="2360"/>
      <c r="AG5" s="2360"/>
      <c r="AH5" s="2360"/>
      <c r="AI5" s="2360"/>
      <c r="AJ5" s="2361"/>
      <c r="AK5" s="1264" t="s">
        <v>497</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422</v>
      </c>
      <c r="P6" s="2263"/>
      <c r="Q6" s="2263">
        <v>1</v>
      </c>
      <c r="R6" s="363"/>
      <c r="S6" s="1499">
        <f>$J6</f>
      </c>
      <c r="T6" s="292" t="s">
        <v>423</v>
      </c>
      <c r="U6" s="306"/>
      <c r="V6" s="2251"/>
      <c r="W6" s="2252"/>
      <c r="X6" s="2252"/>
      <c r="Y6" s="2252"/>
      <c r="Z6" s="2252"/>
      <c r="AA6" s="2252"/>
      <c r="AB6" s="2253"/>
      <c r="AC6" s="2251"/>
      <c r="AD6" s="2252"/>
      <c r="AE6" s="2252"/>
      <c r="AF6" s="2252"/>
      <c r="AG6" s="2252"/>
      <c r="AH6" s="2252"/>
      <c r="AI6" s="2252"/>
      <c r="AJ6" s="2253"/>
      <c r="AK6" s="1313" t="s">
        <v>498</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62</v>
      </c>
      <c r="AA7" s="2271"/>
      <c r="AB7" s="2113" t="s">
        <v>62</v>
      </c>
      <c r="AC7" s="757"/>
      <c r="AD7" s="757"/>
      <c r="AE7" s="1263"/>
      <c r="AF7" s="2271"/>
      <c r="AG7" s="2113" t="s">
        <v>62</v>
      </c>
      <c r="AH7" s="2293"/>
      <c r="AI7" s="2113" t="s">
        <v>62</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499</v>
      </c>
      <c r="U9" s="373"/>
      <c r="V9" s="373"/>
      <c r="W9" s="373"/>
      <c r="X9" s="373"/>
      <c r="Y9" s="373"/>
      <c r="Z9" s="373"/>
      <c r="AA9" s="373"/>
      <c r="AB9" s="373"/>
      <c r="AC9" s="373"/>
      <c r="AD9" s="373"/>
      <c r="AE9" s="373"/>
      <c r="AF9" s="373"/>
      <c r="AG9" s="373"/>
      <c r="AH9" s="373"/>
      <c r="AI9" s="373"/>
      <c r="AJ9" s="373"/>
      <c r="AK9" s="1264" t="s">
        <v>500</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428</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501</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251</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252</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62</v>
      </c>
      <c r="AH15" s="2273"/>
      <c r="AI15" s="2274" t="s">
        <v>62</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431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432</v>
      </c>
      <c r="P20" s="1368"/>
      <c r="Q20" s="1448"/>
      <c r="R20" s="1448"/>
      <c r="S20" s="735"/>
      <c r="T20" s="1166" t="s">
        <v>433</v>
      </c>
      <c r="Z20" s="192" t="s">
        <v>434</v>
      </c>
      <c r="AB20" s="192" t="s">
        <v>435</v>
      </c>
      <c r="AC20" s="1166" t="s">
        <v>433</v>
      </c>
      <c r="AG20" s="192" t="s">
        <v>436</v>
      </c>
      <c r="AI20" s="192" t="s">
        <v>435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1249"/>
      <c r="AQ25" s="1161">
        <v>14</v>
      </c>
    </row>
    <row customHeight="1" ht="14.25">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2257"/>
      <c r="AB27" s="332"/>
      <c r="AC27" s="2257" t="str">
        <f>IF(TITLE_NAME_OR_PR_CHANGE="",IF(TITLE_NAME_OR_PR="","",TITLE_NAME_OR_PR),TITLE_NAME_OR_PR_CHANGE)</f>
        <v>Государственный комитет по ценовой политике Республики Саха (Якутия)</v>
      </c>
      <c r="AD27" s="2257"/>
      <c r="AE27" s="2257"/>
      <c r="AF27" s="2257"/>
      <c r="AG27" s="2257"/>
      <c r="AH27" s="2257"/>
      <c r="AI27" s="332"/>
      <c r="AJ27" s="332"/>
      <c r="AK27" s="286"/>
      <c r="AL27" s="374"/>
      <c r="AM27" s="374"/>
      <c r="AN27" s="374"/>
      <c r="AO27" s="374"/>
      <c r="AP27" s="374"/>
      <c r="AQ27" s="424">
        <v>0</v>
      </c>
    </row>
    <row s="1859" customFormat="1" customHeight="1" ht="18.75">
      <c r="A28" s="1374"/>
      <c r="B28" s="1374"/>
      <c r="C28" s="1374"/>
      <c r="D28" s="1374"/>
      <c r="E28" s="1374"/>
      <c r="F28" s="1374"/>
      <c r="G28" s="1374"/>
      <c r="H28" s="1374"/>
      <c r="I28" s="1374"/>
      <c r="J28" s="1374"/>
      <c r="K28" s="1374"/>
      <c r="L28" s="1375"/>
      <c r="M28" s="1374"/>
      <c r="N28" s="1374"/>
      <c r="O28" s="1374"/>
      <c r="S28" s="2256" t="s">
        <v>437</v>
      </c>
      <c r="T28" s="2256"/>
      <c r="U28" s="1378"/>
      <c r="V28" s="2270" t="str">
        <f>IF(TITLE_DATE_PR_CHANGE="",IF(TITLE_DATE_PR="","",TITLE_DATE_PR),TITLE_DATE_PR_CHANGE)</f>
        <v>46003.502546296295</v>
      </c>
      <c r="W28" s="2270"/>
      <c r="X28" s="2270"/>
      <c r="Y28" s="2270"/>
      <c r="Z28" s="2270"/>
      <c r="AA28" s="2270"/>
      <c r="AB28" s="332"/>
      <c r="AC28" s="2270" t="str">
        <f>IF(TITLE_DATE_PR_CHANGE="",IF(TITLE_DATE_PR="","",TITLE_DATE_PR),TITLE_DATE_PR_CHANGE)</f>
        <v>46003.502546296295</v>
      </c>
      <c r="AD28" s="2270"/>
      <c r="AE28" s="2270"/>
      <c r="AF28" s="2270"/>
      <c r="AG28" s="2270"/>
      <c r="AH28" s="2270"/>
      <c r="AI28" s="332"/>
      <c r="AJ28" s="332"/>
      <c r="AK28" s="286"/>
      <c r="AL28" s="374"/>
      <c r="AM28" s="374"/>
      <c r="AN28" s="374"/>
      <c r="AO28" s="374"/>
      <c r="AP28" s="374"/>
      <c r="AQ28" s="424">
        <v>0</v>
      </c>
    </row>
    <row s="1859" customFormat="1" customHeight="1" ht="18.75">
      <c r="A29" s="1374"/>
      <c r="B29" s="1374"/>
      <c r="C29" s="1374"/>
      <c r="D29" s="1374"/>
      <c r="E29" s="1374"/>
      <c r="F29" s="1374"/>
      <c r="G29" s="1374"/>
      <c r="H29" s="1374"/>
      <c r="I29" s="1374"/>
      <c r="J29" s="1374"/>
      <c r="K29" s="1374"/>
      <c r="L29" s="1375"/>
      <c r="M29" s="1374"/>
      <c r="N29" s="1374"/>
      <c r="O29" s="1374"/>
      <c r="S29" s="2256" t="s">
        <v>438</v>
      </c>
      <c r="T29" s="2256"/>
      <c r="U29" s="1378"/>
      <c r="V29" s="2257" t="str">
        <f>IF(TITLE_NUMBER_PR_CHANGE="",IF(TITLE_NUMBER_PR="","",TITLE_NUMBER_PR),TITLE_NUMBER_PR_CHANGE)</f>
        <v>№ 222</v>
      </c>
      <c r="W29" s="2257"/>
      <c r="X29" s="2257"/>
      <c r="Y29" s="2257"/>
      <c r="Z29" s="2257"/>
      <c r="AA29" s="2257"/>
      <c r="AB29" s="332"/>
      <c r="AC29" s="2257" t="str">
        <f>IF(TITLE_NUMBER_PR_CHANGE="",IF(TITLE_NUMBER_PR="","",TITLE_NUMBER_PR),TITLE_NUMBER_PR_CHANGE)</f>
        <v>№ 222</v>
      </c>
      <c r="AD29" s="2257"/>
      <c r="AE29" s="2257"/>
      <c r="AF29" s="2257"/>
      <c r="AG29" s="2257"/>
      <c r="AH29" s="2257"/>
      <c r="AI29" s="332"/>
      <c r="AJ29" s="332"/>
      <c r="AK29" s="286"/>
      <c r="AL29" s="374"/>
      <c r="AM29" s="374"/>
      <c r="AN29" s="374"/>
      <c r="AO29" s="374"/>
      <c r="AP29" s="374"/>
      <c r="AQ29" s="424">
        <v>0</v>
      </c>
    </row>
    <row s="1859" customFormat="1" customHeight="1" ht="18.75">
      <c r="A30" s="1374"/>
      <c r="B30" s="1374"/>
      <c r="C30" s="1374"/>
      <c r="D30" s="1374"/>
      <c r="E30" s="1374"/>
      <c r="F30" s="1374"/>
      <c r="G30" s="1374"/>
      <c r="H30" s="1374"/>
      <c r="I30" s="1374"/>
      <c r="J30" s="1374"/>
      <c r="K30" s="1374"/>
      <c r="L30" s="1375"/>
      <c r="M30" s="1374"/>
      <c r="N30" s="1374"/>
      <c r="O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2257"/>
      <c r="AB30" s="332"/>
      <c r="AC30" s="2257" t="str">
        <f>IF(TITLE_IST_PUB_CHANGE="",IF(TITLE_IST_PUB="","",TITLE_IST_PUB),TITLE_IST_PUB_CHANGE)</f>
        <v>Официальный интернет-портал правовой информации http://pravo.gov.ru/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439</v>
      </c>
      <c r="T32" s="2256"/>
      <c r="U32" s="1378"/>
      <c r="V32" s="2270" t="str">
        <f>IF(TITLE_DATE_PR_CHANGE="",IF(TITLE_DATE_PR="","",TITLE_DATE_PR),TITLE_DATE_PR_CHANGE)</f>
        <v>46003.502546296295</v>
      </c>
      <c r="W32" s="2270"/>
      <c r="X32" s="2270"/>
      <c r="Y32" s="2270"/>
      <c r="Z32" s="2270"/>
      <c r="AA32" s="2270"/>
      <c r="AB32" s="332"/>
      <c r="AC32" s="2270" t="str">
        <f>IF(TITLE_DATE_PR_CHANGE="",IF(TITLE_DATE_PR="","",TITLE_DATE_PR),TITLE_DATE_PR_CHANGE)</f>
        <v>46003.502546296295</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440</v>
      </c>
      <c r="T33" s="2256"/>
      <c r="U33" s="1378"/>
      <c r="V33" s="2257" t="str">
        <f>IF(TITLE_NUMBER_PR_CHANGE="",IF(TITLE_NUMBER_PR="","",TITLE_NUMBER_PR),TITLE_NUMBER_PR_CHANGE)</f>
        <v>№ 222</v>
      </c>
      <c r="W33" s="2257"/>
      <c r="X33" s="2257"/>
      <c r="Y33" s="2257"/>
      <c r="Z33" s="2257"/>
      <c r="AA33" s="2257"/>
      <c r="AB33" s="332"/>
      <c r="AC33" s="2257" t="str">
        <f>IF(TITLE_NUMBER_PR_CHANGE="",IF(TITLE_NUMBER_PR="","",TITLE_NUMBER_PR),TITLE_NUMBER_PR_CHANGE)</f>
        <v>№ 222</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441</v>
      </c>
      <c r="AC34" s="332"/>
      <c r="AD34" s="332"/>
      <c r="AE34" s="332"/>
      <c r="AF34" s="332"/>
      <c r="AG34" s="332"/>
      <c r="AH34" s="332"/>
      <c r="AI34" s="284" t="s">
        <v>441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316</v>
      </c>
      <c r="T36" s="2133"/>
      <c r="U36" s="2133"/>
      <c r="V36" s="2133"/>
      <c r="W36" s="2133"/>
      <c r="X36" s="2133"/>
      <c r="Y36" s="2133"/>
      <c r="Z36" s="2133"/>
      <c r="AA36" s="2133"/>
      <c r="AB36" s="2133"/>
      <c r="AC36" s="2133"/>
      <c r="AD36" s="2133"/>
      <c r="AE36" s="2133"/>
      <c r="AF36" s="2133"/>
      <c r="AG36" s="2133"/>
      <c r="AH36" s="2133"/>
      <c r="AI36" s="2133"/>
      <c r="AJ36" s="2133"/>
      <c r="AK36" s="2133" t="s">
        <v>317</v>
      </c>
      <c r="AQ36" s="1161">
        <v>14</v>
      </c>
    </row>
    <row customHeight="1" ht="14.699999999999998">
      <c r="Q37" s="382"/>
      <c r="R37" s="382"/>
      <c r="S37" s="2279" t="s">
        <v>89</v>
      </c>
      <c r="T37" s="2215" t="s">
        <v>442</v>
      </c>
      <c r="U37" s="307"/>
      <c r="V37" s="2280" t="s">
        <v>443</v>
      </c>
      <c r="W37" s="2281"/>
      <c r="X37" s="2281"/>
      <c r="Y37" s="2281"/>
      <c r="Z37" s="2281"/>
      <c r="AA37" s="2282"/>
      <c r="AB37" s="2283" t="s">
        <v>444</v>
      </c>
      <c r="AC37" s="2280" t="s">
        <v>443</v>
      </c>
      <c r="AD37" s="2281"/>
      <c r="AE37" s="2281"/>
      <c r="AF37" s="2281"/>
      <c r="AG37" s="2281"/>
      <c r="AH37" s="2282"/>
      <c r="AI37" s="2283" t="s">
        <v>445</v>
      </c>
      <c r="AJ37" s="2286" t="s">
        <v>446</v>
      </c>
      <c r="AK37" s="2133"/>
      <c r="AQ37" s="1161">
        <v>14</v>
      </c>
    </row>
    <row customHeight="1" ht="35.699999999999996">
      <c r="Q38" s="382"/>
      <c r="R38" s="382"/>
      <c r="S38" s="2279"/>
      <c r="T38" s="2215"/>
      <c r="U38" s="1037"/>
      <c r="V38" s="1489" t="s">
        <v>502</v>
      </c>
      <c r="W38" s="2268" t="s">
        <v>449</v>
      </c>
      <c r="X38" s="2269"/>
      <c r="Y38" s="2268" t="s">
        <v>450</v>
      </c>
      <c r="Z38" s="2275"/>
      <c r="AA38" s="2269"/>
      <c r="AB38" s="2284"/>
      <c r="AC38" s="1489" t="s">
        <v>502</v>
      </c>
      <c r="AD38" s="2268" t="s">
        <v>449</v>
      </c>
      <c r="AE38" s="2269"/>
      <c r="AF38" s="2268" t="s">
        <v>450</v>
      </c>
      <c r="AG38" s="2275"/>
      <c r="AH38" s="2269"/>
      <c r="AI38" s="2284"/>
      <c r="AJ38" s="2287"/>
      <c r="AK38" s="2133"/>
      <c r="AQ38" s="1161">
        <v>34</v>
      </c>
    </row>
    <row customHeight="1" ht="90.3">
      <c r="A39" s="1376"/>
      <c r="B39" s="1376" t="s">
        <v>137</v>
      </c>
      <c r="C39" s="1376" t="s">
        <v>138</v>
      </c>
      <c r="D39" s="1376" t="s">
        <v>139</v>
      </c>
      <c r="E39" s="1370" t="s">
        <v>451</v>
      </c>
      <c r="F39" s="1370" t="s">
        <v>452</v>
      </c>
      <c r="G39" s="1370" t="s">
        <v>453</v>
      </c>
      <c r="H39" s="1370"/>
      <c r="I39" s="1370" t="s">
        <v>503</v>
      </c>
      <c r="J39" s="1370" t="s">
        <v>456</v>
      </c>
      <c r="K39" s="1370" t="s">
        <v>504</v>
      </c>
      <c r="L39" s="1370" t="s">
        <v>432</v>
      </c>
      <c r="Q39" s="382"/>
      <c r="R39" s="382"/>
      <c r="S39" s="2279"/>
      <c r="T39" s="2215"/>
      <c r="U39" s="308"/>
      <c r="V39" s="1489" t="s">
        <v>555</v>
      </c>
      <c r="W39" s="1228" t="s">
        <v>556</v>
      </c>
      <c r="X39" s="1228" t="s">
        <v>507</v>
      </c>
      <c r="Y39" s="1495" t="s">
        <v>460</v>
      </c>
      <c r="Z39" s="2276" t="s">
        <v>461</v>
      </c>
      <c r="AA39" s="2277"/>
      <c r="AB39" s="2285"/>
      <c r="AC39" s="1489" t="s">
        <v>555</v>
      </c>
      <c r="AD39" s="1228" t="s">
        <v>556</v>
      </c>
      <c r="AE39" s="1228" t="s">
        <v>507</v>
      </c>
      <c r="AF39" s="1495" t="s">
        <v>460</v>
      </c>
      <c r="AG39" s="2276" t="s">
        <v>461</v>
      </c>
      <c r="AH39" s="2277"/>
      <c r="AI39" s="2285"/>
      <c r="AJ39" s="2288"/>
      <c r="AK39" s="2133"/>
      <c r="AQ39" s="1161">
        <v>86</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111</v>
      </c>
      <c r="T40" s="1261" t="s">
        <v>112</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287</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125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287</v>
      </c>
      <c r="B42" s="1369" t="s">
        <v>288</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413</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414</v>
      </c>
      <c r="AM42" s="506"/>
      <c r="AN42" s="506" t="str">
        <f>IF(T42="","",T42)</f>
        <v>Территория действия тарифа</v>
      </c>
      <c r="AO42" s="506"/>
      <c r="AP42" s="506"/>
      <c r="AQ42" s="1161">
        <v>23</v>
      </c>
    </row>
    <row customHeight="1" ht="24">
      <c r="A43" s="1369" t="s">
        <v>287</v>
      </c>
      <c r="B43" s="1369" t="s">
        <v>288</v>
      </c>
      <c r="C43" s="1369" t="s">
        <v>289</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553</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554</v>
      </c>
      <c r="AM43" s="506"/>
      <c r="AN43" s="506" t="str">
        <f>IF(T43="","",T43)</f>
        <v>Наименование централизованной системы водоотведения</v>
      </c>
      <c r="AO43" s="506"/>
      <c r="AP43" s="506"/>
      <c r="AQ43" s="1161">
        <v>23</v>
      </c>
    </row>
    <row customHeight="1" ht="24">
      <c r="A44" s="1369" t="s">
        <v>287</v>
      </c>
      <c r="B44" s="1369" t="s">
        <v>288</v>
      </c>
      <c r="C44" s="1369" t="s">
        <v>289</v>
      </c>
      <c r="D44" s="1369" t="s">
        <v>558</v>
      </c>
      <c r="E44" s="2265"/>
      <c r="F44" s="2265"/>
      <c r="G44" s="2265"/>
      <c r="H44" s="2265"/>
      <c r="I44" s="2262" t="str">
        <f>S43&amp;".1"</f>
        <v>...1</v>
      </c>
      <c r="J44" s="1369"/>
      <c r="K44" s="1369"/>
      <c r="L44" s="1370"/>
      <c r="P44" s="2263">
        <v>1</v>
      </c>
      <c r="Q44" s="1487"/>
      <c r="R44" s="362"/>
      <c r="S44" s="1499" t="str">
        <f>$I44</f>
        <v>...1</v>
      </c>
      <c r="T44" s="291" t="s">
        <v>496</v>
      </c>
      <c r="U44" s="306"/>
      <c r="V44" s="2356"/>
      <c r="W44" s="2357"/>
      <c r="X44" s="2357"/>
      <c r="Y44" s="2357"/>
      <c r="Z44" s="2357"/>
      <c r="AA44" s="2357"/>
      <c r="AB44" s="2358"/>
      <c r="AC44" s="2359"/>
      <c r="AD44" s="2360"/>
      <c r="AE44" s="2360"/>
      <c r="AF44" s="2360"/>
      <c r="AG44" s="2360"/>
      <c r="AH44" s="2360"/>
      <c r="AI44" s="2360"/>
      <c r="AJ44" s="2361"/>
      <c r="AK44" s="1264" t="s">
        <v>497</v>
      </c>
      <c r="AM44" s="506"/>
      <c r="AN44" s="506" t="str">
        <f>IF(T44="","",T44)</f>
        <v>Наименование признака дифференциации</v>
      </c>
      <c r="AO44" s="506"/>
      <c r="AP44" s="506"/>
      <c r="AQ44" s="1161">
        <v>23</v>
      </c>
    </row>
    <row customHeight="1" ht="24">
      <c r="A45" s="1369" t="s">
        <v>287</v>
      </c>
      <c r="B45" s="1369" t="s">
        <v>288</v>
      </c>
      <c r="C45" s="1369" t="s">
        <v>289</v>
      </c>
      <c r="D45" s="1369" t="s">
        <v>558</v>
      </c>
      <c r="E45" s="2265"/>
      <c r="F45" s="2265"/>
      <c r="G45" s="2265"/>
      <c r="H45" s="2265"/>
      <c r="I45" s="2292"/>
      <c r="J45" s="2262" t="str">
        <f>I44&amp;".1"</f>
        <v>...1.1</v>
      </c>
      <c r="K45" s="1369"/>
      <c r="L45" s="1370" t="s">
        <v>422</v>
      </c>
      <c r="P45" s="2263"/>
      <c r="Q45" s="2263">
        <v>1</v>
      </c>
      <c r="R45" s="363"/>
      <c r="S45" s="1499" t="str">
        <f>$J45</f>
        <v>...1.1</v>
      </c>
      <c r="T45" s="292" t="s">
        <v>423</v>
      </c>
      <c r="U45" s="306"/>
      <c r="V45" s="2251"/>
      <c r="W45" s="2252"/>
      <c r="X45" s="2252"/>
      <c r="Y45" s="2252"/>
      <c r="Z45" s="2252"/>
      <c r="AA45" s="2252"/>
      <c r="AB45" s="2253"/>
      <c r="AC45" s="2251"/>
      <c r="AD45" s="2252"/>
      <c r="AE45" s="2252"/>
      <c r="AF45" s="2252"/>
      <c r="AG45" s="2252"/>
      <c r="AH45" s="2252"/>
      <c r="AI45" s="2252"/>
      <c r="AJ45" s="2253"/>
      <c r="AK45" s="1313" t="s">
        <v>498</v>
      </c>
      <c r="AM45" s="506"/>
      <c r="AN45" s="506" t="str">
        <f>IF(T45="","",T45)</f>
        <v>Группа потребителей</v>
      </c>
      <c r="AO45" s="506"/>
      <c r="AP45" s="506"/>
      <c r="AQ45" s="1161">
        <v>23</v>
      </c>
    </row>
    <row customHeight="1" ht="24">
      <c r="A46" s="1369" t="s">
        <v>287</v>
      </c>
      <c r="B46" s="1369" t="s">
        <v>288</v>
      </c>
      <c r="C46" s="1369" t="s">
        <v>289</v>
      </c>
      <c r="D46" s="1369" t="s">
        <v>558</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62</v>
      </c>
      <c r="AA46" s="2273"/>
      <c r="AB46" s="2274" t="s">
        <v>62</v>
      </c>
      <c r="AC46" s="757"/>
      <c r="AD46" s="757"/>
      <c r="AE46" s="1263"/>
      <c r="AF46" s="2271"/>
      <c r="AG46" s="2113" t="s">
        <v>62</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287</v>
      </c>
      <c r="B47" s="1369" t="s">
        <v>288</v>
      </c>
      <c r="C47" s="1369" t="s">
        <v>289</v>
      </c>
      <c r="D47" s="1369" t="s">
        <v>558</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287</v>
      </c>
      <c r="B48" s="1369" t="s">
        <v>288</v>
      </c>
      <c r="C48" s="1369" t="s">
        <v>289</v>
      </c>
      <c r="D48" s="1369" t="s">
        <v>558</v>
      </c>
      <c r="E48" s="2265"/>
      <c r="F48" s="2265"/>
      <c r="G48" s="2265"/>
      <c r="H48" s="2265"/>
      <c r="I48" s="2292"/>
      <c r="J48" s="2262"/>
      <c r="K48" s="1369"/>
      <c r="L48" s="1370"/>
      <c r="P48" s="2263"/>
      <c r="Q48" s="2263"/>
      <c r="R48" s="362"/>
      <c r="S48" s="1284"/>
      <c r="T48" s="293" t="s">
        <v>499</v>
      </c>
      <c r="U48" s="373"/>
      <c r="V48" s="373"/>
      <c r="W48" s="373"/>
      <c r="X48" s="373"/>
      <c r="Y48" s="373"/>
      <c r="Z48" s="373"/>
      <c r="AA48" s="373"/>
      <c r="AB48" s="373"/>
      <c r="AC48" s="373"/>
      <c r="AD48" s="373"/>
      <c r="AE48" s="373"/>
      <c r="AF48" s="373"/>
      <c r="AG48" s="373"/>
      <c r="AH48" s="373"/>
      <c r="AI48" s="373"/>
      <c r="AJ48" s="373"/>
      <c r="AK48" s="1264" t="s">
        <v>500</v>
      </c>
      <c r="AM48" s="506"/>
      <c r="AN48" s="506" t="str">
        <f>IF(T48="","",T48)</f>
        <v>Добавить значение признака дифференциации</v>
      </c>
      <c r="AO48" s="506"/>
      <c r="AP48" s="506"/>
      <c r="AQ48" s="1161">
        <v>20</v>
      </c>
    </row>
    <row customHeight="1" ht="22.049999999999997">
      <c r="A49" s="1369" t="s">
        <v>287</v>
      </c>
      <c r="B49" s="1369" t="s">
        <v>288</v>
      </c>
      <c r="C49" s="1369" t="s">
        <v>289</v>
      </c>
      <c r="D49" s="1369" t="s">
        <v>558</v>
      </c>
      <c r="E49" s="2265"/>
      <c r="F49" s="2265"/>
      <c r="G49" s="2265"/>
      <c r="H49" s="2265"/>
      <c r="I49" s="2262"/>
      <c r="J49" s="1369"/>
      <c r="K49" s="1369"/>
      <c r="L49" s="1370"/>
      <c r="P49" s="2263"/>
      <c r="Q49" s="1487"/>
      <c r="R49" s="362"/>
      <c r="S49" s="1284"/>
      <c r="T49" s="371" t="s">
        <v>428</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287</v>
      </c>
      <c r="B50" s="1369" t="s">
        <v>288</v>
      </c>
      <c r="C50" s="1369" t="s">
        <v>289</v>
      </c>
      <c r="D50" s="1369" t="s">
        <v>558</v>
      </c>
      <c r="E50" s="2265"/>
      <c r="F50" s="2265"/>
      <c r="G50" s="2265"/>
      <c r="H50" s="2264"/>
      <c r="I50" s="1369"/>
      <c r="J50" s="1369"/>
      <c r="K50" s="1369"/>
      <c r="L50" s="1370"/>
      <c r="M50" s="1371"/>
      <c r="N50" s="1371"/>
      <c r="O50" s="543"/>
      <c r="P50" s="366"/>
      <c r="Q50" s="381"/>
      <c r="R50" s="361"/>
      <c r="S50" s="1284"/>
      <c r="T50" s="378" t="s">
        <v>501</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287</v>
      </c>
      <c r="B51" s="1349" t="s">
        <v>288</v>
      </c>
      <c r="C51" s="1320"/>
      <c r="D51" s="1320"/>
      <c r="E51" s="2265"/>
      <c r="F51" s="2264"/>
      <c r="G51" s="1320"/>
      <c r="H51" s="1320"/>
      <c r="I51" s="1320"/>
      <c r="J51" s="1320"/>
      <c r="K51" s="1320"/>
      <c r="L51" s="1500"/>
      <c r="M51" s="1327"/>
      <c r="N51" s="1327"/>
      <c r="P51" s="1322"/>
      <c r="Q51" s="1323"/>
      <c r="R51" s="1322"/>
      <c r="S51" s="1328"/>
      <c r="T51" s="1331" t="s">
        <v>251</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287</v>
      </c>
      <c r="B52" s="1349"/>
      <c r="C52" s="1349"/>
      <c r="D52" s="1349"/>
      <c r="E52" s="2264"/>
      <c r="F52" s="1349"/>
      <c r="G52" s="1349"/>
      <c r="H52" s="1349"/>
      <c r="I52" s="1349"/>
      <c r="J52" s="1349"/>
      <c r="K52" s="1349"/>
      <c r="L52" s="1352"/>
      <c r="M52" s="1327"/>
      <c r="N52" s="1327"/>
      <c r="O52" s="524"/>
      <c r="P52" s="386"/>
      <c r="Q52" s="1350"/>
      <c r="R52" s="386"/>
      <c r="S52" s="1328"/>
      <c r="T52" s="1331" t="s">
        <v>252</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264</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83</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26777A-CF3B-E41A-1901-1DB9A67BBF9B}"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125</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413</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414</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553</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554</v>
      </c>
      <c r="BE4" s="506"/>
      <c r="BF4" s="506" t="str">
        <f>IF(T4="","",T4)</f>
        <v>Наименование централизованной системы водоотведения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418</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419</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62</v>
      </c>
      <c r="AB8" s="1740"/>
      <c r="AC8" s="1475" t="s">
        <v>62</v>
      </c>
      <c r="AD8" s="2191" t="s">
        <v>62</v>
      </c>
      <c r="AE8" s="2332"/>
      <c r="AF8" s="2211">
        <v>1</v>
      </c>
      <c r="AG8" s="2369"/>
      <c r="AH8" s="2113" t="s">
        <v>62</v>
      </c>
      <c r="AI8" s="2332"/>
      <c r="AJ8" s="2211">
        <v>1</v>
      </c>
      <c r="AK8" s="2333" t="s">
        <v>28</v>
      </c>
      <c r="AL8" s="2113" t="s">
        <v>62</v>
      </c>
      <c r="AM8" s="2198"/>
      <c r="AN8" s="2211">
        <v>1</v>
      </c>
      <c r="AO8" s="2363"/>
      <c r="AP8" s="2364" t="s">
        <v>62</v>
      </c>
      <c r="AQ8" s="317"/>
      <c r="AR8" s="1492">
        <v>1</v>
      </c>
      <c r="AS8" s="1498" t="s">
        <v>28</v>
      </c>
      <c r="AT8" s="757"/>
      <c r="AU8" s="1263"/>
      <c r="AV8" s="757"/>
      <c r="AW8" s="1263"/>
      <c r="AX8" s="1740"/>
      <c r="AY8" s="1475" t="s">
        <v>62</v>
      </c>
      <c r="AZ8" s="1740"/>
      <c r="BA8" s="1475" t="s">
        <v>62</v>
      </c>
      <c r="BB8" s="1354"/>
      <c r="BC8" s="2259" t="s">
        <v>514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515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559</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560</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518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481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251</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252</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62</v>
      </c>
      <c r="AZ20" s="1742"/>
      <c r="BA20" s="1491" t="s">
        <v>62</v>
      </c>
      <c r="BI20" s="1161">
        <v>0</v>
      </c>
    </row>
    <row customHeight="1" ht="14.25" hidden="1">
      <c r="BD21" s="502"/>
      <c r="BE21" s="502"/>
      <c r="BF21" s="502"/>
      <c r="BG21" s="502"/>
      <c r="BH21" s="502"/>
      <c r="BI21" s="1161">
        <v>0</v>
      </c>
    </row>
    <row customHeight="1" ht="14.25" hidden="1">
      <c r="O22" s="1373" t="s">
        <v>431</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432</v>
      </c>
      <c r="P24" s="1514"/>
      <c r="Q24" s="1516"/>
      <c r="R24" s="1516"/>
      <c r="AA24" s="1513" t="s">
        <v>434</v>
      </c>
      <c r="AC24" s="1513" t="s">
        <v>435</v>
      </c>
      <c r="AD24" s="1513" t="s">
        <v>482</v>
      </c>
      <c r="AH24" s="1513" t="s">
        <v>482</v>
      </c>
      <c r="AK24" s="1513" t="s">
        <v>519</v>
      </c>
      <c r="AL24" s="1513" t="s">
        <v>482</v>
      </c>
      <c r="AP24" s="1513" t="s">
        <v>482</v>
      </c>
      <c r="AY24" s="1513" t="s">
        <v>434</v>
      </c>
      <c r="BA24" s="1513" t="s">
        <v>435</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АО «ДГК» СП «Нерюнгринская ГРЭС»</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Государственный комитет по ценовой политике Республики Саха (Якутия)</v>
      </c>
      <c r="W31" s="2257"/>
      <c r="X31" s="2257"/>
      <c r="Y31" s="2257"/>
      <c r="Z31" s="2257"/>
      <c r="AA31" s="2257"/>
      <c r="AB31" s="2257"/>
      <c r="AC31" s="332"/>
      <c r="AD31" s="2257" t="str">
        <f>IF(TITLE_NAME_OR_PR_CHANGE="",IF(TITLE_NAME_OR_PR="","",TITLE_NAME_OR_PR),TITLE_NAME_OR_PR_CHANGE)</f>
        <v>Государственный комитет по ценовой политике Республики Саха (Якутия)</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c r="A32" s="1374"/>
      <c r="B32" s="1374"/>
      <c r="C32" s="1374"/>
      <c r="D32" s="1374"/>
      <c r="E32" s="1374"/>
      <c r="F32" s="1374"/>
      <c r="G32" s="1374"/>
      <c r="H32" s="1374"/>
      <c r="I32" s="1374"/>
      <c r="J32" s="1374"/>
      <c r="K32" s="1374"/>
      <c r="L32" s="1375"/>
      <c r="M32" s="1374"/>
      <c r="N32" s="1374"/>
      <c r="O32" s="1374"/>
      <c r="P32" s="1374"/>
      <c r="Q32" s="1374"/>
      <c r="S32" s="2256" t="s">
        <v>437</v>
      </c>
      <c r="T32" s="2256"/>
      <c r="U32" s="1378"/>
      <c r="V32" s="2270" t="str">
        <f>IF(TITLE_DATE_PR_CHANGE="",IF(TITLE_DATE_PR="","",TITLE_DATE_PR),TITLE_DATE_PR_CHANGE)</f>
        <v>46003.502546296295</v>
      </c>
      <c r="W32" s="2270"/>
      <c r="X32" s="2270"/>
      <c r="Y32" s="2270"/>
      <c r="Z32" s="2270"/>
      <c r="AA32" s="2270"/>
      <c r="AB32" s="2270"/>
      <c r="AC32" s="332"/>
      <c r="AD32" s="2270" t="str">
        <f>IF(TITLE_DATE_PR_CHANGE="",IF(TITLE_DATE_PR="","",TITLE_DATE_PR),TITLE_DATE_PR_CHANGE)</f>
        <v>46003.502546296295</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c r="A33" s="1374"/>
      <c r="B33" s="1374"/>
      <c r="C33" s="1374"/>
      <c r="D33" s="1374"/>
      <c r="E33" s="1374"/>
      <c r="F33" s="1374"/>
      <c r="G33" s="1374"/>
      <c r="H33" s="1374"/>
      <c r="I33" s="1374"/>
      <c r="J33" s="1374"/>
      <c r="K33" s="1374"/>
      <c r="L33" s="1375"/>
      <c r="M33" s="1374"/>
      <c r="N33" s="1374"/>
      <c r="O33" s="1374"/>
      <c r="P33" s="1374"/>
      <c r="Q33" s="1374"/>
      <c r="S33" s="2256" t="s">
        <v>438</v>
      </c>
      <c r="T33" s="2256"/>
      <c r="U33" s="1378"/>
      <c r="V33" s="2257" t="str">
        <f>IF(TITLE_NUMBER_PR_CHANGE="",IF(TITLE_NUMBER_PR="","",TITLE_NUMBER_PR),TITLE_NUMBER_PR_CHANGE)</f>
        <v>№ 222</v>
      </c>
      <c r="W33" s="2257"/>
      <c r="X33" s="2257"/>
      <c r="Y33" s="2257"/>
      <c r="Z33" s="2257"/>
      <c r="AA33" s="2257"/>
      <c r="AB33" s="2257"/>
      <c r="AC33" s="332"/>
      <c r="AD33" s="2257" t="str">
        <f>IF(TITLE_NUMBER_PR_CHANGE="",IF(TITLE_NUMBER_PR="","",TITLE_NUMBER_PR),TITLE_NUMBER_PR_CHANGE)</f>
        <v>№ 222</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c r="A34" s="1374"/>
      <c r="B34" s="1374"/>
      <c r="C34" s="1374"/>
      <c r="D34" s="1374"/>
      <c r="E34" s="1374"/>
      <c r="F34" s="1374"/>
      <c r="G34" s="1374"/>
      <c r="H34" s="1374"/>
      <c r="I34" s="1374"/>
      <c r="J34" s="1374"/>
      <c r="K34" s="1374"/>
      <c r="L34" s="1375"/>
      <c r="M34" s="1374"/>
      <c r="N34" s="1374"/>
      <c r="O34" s="1374"/>
      <c r="P34" s="1374"/>
      <c r="Q34" s="1374"/>
      <c r="S34" s="2256" t="s">
        <v>44</v>
      </c>
      <c r="T34" s="2256"/>
      <c r="U34" s="1378"/>
      <c r="V34" s="2257" t="str">
        <f>IF(TITLE_IST_PUB_CHANGE="",IF(TITLE_IST_PUB="","",TITLE_IST_PUB),TITLE_IST_PUB_CHANGE)</f>
        <v>Официальный интернет-портал правовой информации http://pravo.gov.ru/ </v>
      </c>
      <c r="W34" s="2257"/>
      <c r="X34" s="2257"/>
      <c r="Y34" s="2257"/>
      <c r="Z34" s="2257"/>
      <c r="AA34" s="2257"/>
      <c r="AB34" s="2257"/>
      <c r="AC34" s="332"/>
      <c r="AD34" s="2257" t="str">
        <f>IF(TITLE_IST_PUB_CHANGE="",IF(TITLE_IST_PUB="","",TITLE_IST_PUB),TITLE_IST_PUB_CHANGE)</f>
        <v>Официальный интернет-портал правовой информации http://pravo.gov.ru/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437</v>
      </c>
      <c r="T36" s="2256"/>
      <c r="U36" s="1378"/>
      <c r="V36" s="2270" t="str">
        <f>IF(TITLE_DATE_PR_CHANGE="",IF(TITLE_DATE_PR="","",TITLE_DATE_PR),TITLE_DATE_PR_CHANGE)</f>
        <v>46003.502546296295</v>
      </c>
      <c r="W36" s="2270"/>
      <c r="X36" s="2270"/>
      <c r="Y36" s="2270"/>
      <c r="Z36" s="2270"/>
      <c r="AA36" s="2270"/>
      <c r="AB36" s="2270"/>
      <c r="AC36" s="332"/>
      <c r="AD36" s="2270" t="str">
        <f>IF(TITLE_DATE_PR_CHANGE="",IF(TITLE_DATE_PR="","",TITLE_DATE_PR),TITLE_DATE_PR_CHANGE)</f>
        <v>46003.502546296295</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438</v>
      </c>
      <c r="T37" s="2256"/>
      <c r="U37" s="1378"/>
      <c r="V37" s="2257" t="str">
        <f>IF(TITLE_NUMBER_PR_CHANGE="",IF(TITLE_NUMBER_PR="","",TITLE_NUMBER_PR),TITLE_NUMBER_PR_CHANGE)</f>
        <v>№ 222</v>
      </c>
      <c r="W37" s="2257"/>
      <c r="X37" s="2257"/>
      <c r="Y37" s="2257"/>
      <c r="Z37" s="2257"/>
      <c r="AA37" s="2257"/>
      <c r="AB37" s="2257"/>
      <c r="AC37" s="332"/>
      <c r="AD37" s="2257" t="str">
        <f>IF(TITLE_NUMBER_PR_CHANGE="",IF(TITLE_NUMBER_PR="","",TITLE_NUMBER_PR),TITLE_NUMBER_PR_CHANGE)</f>
        <v>№ 222</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441</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441</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316</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317</v>
      </c>
      <c r="BI40" s="1161">
        <v>14</v>
      </c>
    </row>
    <row customHeight="1" ht="14.699999999999998">
      <c r="Q41" s="297"/>
      <c r="R41" s="382"/>
      <c r="S41" s="2279" t="s">
        <v>89</v>
      </c>
      <c r="T41" s="2215" t="s">
        <v>520</v>
      </c>
      <c r="U41" s="307"/>
      <c r="V41" s="2280" t="s">
        <v>443</v>
      </c>
      <c r="W41" s="2281"/>
      <c r="X41" s="2281"/>
      <c r="Y41" s="2281"/>
      <c r="Z41" s="2281"/>
      <c r="AA41" s="2281"/>
      <c r="AB41" s="2282"/>
      <c r="AC41" s="2283" t="s">
        <v>444</v>
      </c>
      <c r="AD41" s="2334" t="s">
        <v>561</v>
      </c>
      <c r="AE41" s="2297"/>
      <c r="AF41" s="2297"/>
      <c r="AG41" s="2335"/>
      <c r="AH41" s="2334" t="s">
        <v>562</v>
      </c>
      <c r="AI41" s="2297"/>
      <c r="AJ41" s="2297"/>
      <c r="AK41" s="2335"/>
      <c r="AL41" s="2334" t="s">
        <v>563</v>
      </c>
      <c r="AM41" s="2297"/>
      <c r="AN41" s="2297"/>
      <c r="AO41" s="2335"/>
      <c r="AP41" s="2334" t="s">
        <v>524</v>
      </c>
      <c r="AQ41" s="2297"/>
      <c r="AR41" s="2297"/>
      <c r="AS41" s="2335"/>
      <c r="AT41" s="2280" t="s">
        <v>443</v>
      </c>
      <c r="AU41" s="2281"/>
      <c r="AV41" s="2281"/>
      <c r="AW41" s="2281"/>
      <c r="AX41" s="2281"/>
      <c r="AY41" s="2281"/>
      <c r="AZ41" s="2282"/>
      <c r="BA41" s="2283" t="s">
        <v>444</v>
      </c>
      <c r="BB41" s="2286" t="s">
        <v>446</v>
      </c>
      <c r="BC41" s="2133"/>
      <c r="BI41" s="1161">
        <v>14</v>
      </c>
    </row>
    <row customHeight="1" ht="35.699999999999996">
      <c r="Q42" s="297"/>
      <c r="R42" s="382"/>
      <c r="S42" s="2279"/>
      <c r="T42" s="2215"/>
      <c r="U42" s="1037"/>
      <c r="V42" s="2198" t="s">
        <v>525</v>
      </c>
      <c r="W42" s="2199"/>
      <c r="X42" s="2198" t="s">
        <v>526</v>
      </c>
      <c r="Y42" s="2199"/>
      <c r="Z42" s="2300" t="s">
        <v>527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564</v>
      </c>
      <c r="AU42" s="2199"/>
      <c r="AV42" s="2198" t="s">
        <v>565</v>
      </c>
      <c r="AW42" s="2199"/>
      <c r="AX42" s="2300" t="s">
        <v>527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137</v>
      </c>
      <c r="C44" s="1376" t="s">
        <v>138</v>
      </c>
      <c r="D44" s="1376" t="s">
        <v>139</v>
      </c>
      <c r="E44" s="1370" t="s">
        <v>451</v>
      </c>
      <c r="F44" s="1370" t="s">
        <v>452</v>
      </c>
      <c r="G44" s="1370" t="s">
        <v>453</v>
      </c>
      <c r="H44" s="1370" t="s">
        <v>454</v>
      </c>
      <c r="I44" s="1370" t="s">
        <v>455</v>
      </c>
      <c r="J44" s="1370" t="s">
        <v>456</v>
      </c>
      <c r="K44" s="1370" t="s">
        <v>457</v>
      </c>
      <c r="L44" s="1370" t="s">
        <v>432</v>
      </c>
      <c r="Q44" s="297"/>
      <c r="R44" s="382"/>
      <c r="S44" s="2279"/>
      <c r="T44" s="2215"/>
      <c r="U44" s="308"/>
      <c r="V44" s="1485" t="s">
        <v>491</v>
      </c>
      <c r="W44" s="1485" t="s">
        <v>492</v>
      </c>
      <c r="X44" s="1485" t="s">
        <v>491</v>
      </c>
      <c r="Y44" s="1485" t="s">
        <v>492</v>
      </c>
      <c r="Z44" s="1495" t="s">
        <v>460</v>
      </c>
      <c r="AA44" s="2276" t="s">
        <v>461</v>
      </c>
      <c r="AB44" s="2277"/>
      <c r="AC44" s="2285"/>
      <c r="AD44" s="2339"/>
      <c r="AE44" s="2340"/>
      <c r="AF44" s="2340"/>
      <c r="AG44" s="2341"/>
      <c r="AH44" s="2339"/>
      <c r="AI44" s="2340"/>
      <c r="AJ44" s="2340"/>
      <c r="AK44" s="2341"/>
      <c r="AL44" s="2339"/>
      <c r="AM44" s="2340"/>
      <c r="AN44" s="2340"/>
      <c r="AO44" s="2341"/>
      <c r="AP44" s="2339"/>
      <c r="AQ44" s="2340"/>
      <c r="AR44" s="2340"/>
      <c r="AS44" s="2341"/>
      <c r="AT44" s="1485" t="s">
        <v>491</v>
      </c>
      <c r="AU44" s="1485" t="s">
        <v>492</v>
      </c>
      <c r="AV44" s="1485" t="s">
        <v>491</v>
      </c>
      <c r="AW44" s="1485" t="s">
        <v>492</v>
      </c>
      <c r="AX44" s="1495" t="s">
        <v>460</v>
      </c>
      <c r="AY44" s="2276" t="s">
        <v>461</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111</v>
      </c>
      <c r="T45" s="1261" t="s">
        <v>112</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292</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125</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292</v>
      </c>
      <c r="B47" s="1369" t="s">
        <v>293</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413</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414</v>
      </c>
      <c r="BE47" s="506"/>
      <c r="BF47" s="506" t="str">
        <f>IF(T47="","",T47)</f>
        <v>Территория действия тарифа</v>
      </c>
      <c r="BG47" s="506"/>
      <c r="BH47" s="506"/>
      <c r="BI47" s="1161">
        <v>21</v>
      </c>
    </row>
    <row customHeight="1" ht="35.699999999999996">
      <c r="A48" s="1369" t="s">
        <v>292</v>
      </c>
      <c r="B48" s="1369" t="s">
        <v>293</v>
      </c>
      <c r="C48" s="1369" t="s">
        <v>294</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553</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554</v>
      </c>
      <c r="BE48" s="506"/>
      <c r="BF48" s="506" t="str">
        <f>IF(T48="","",T48)</f>
        <v>Наименование централизованной системы водоотведения</v>
      </c>
      <c r="BG48" s="506"/>
      <c r="BH48" s="506"/>
      <c r="BI48" s="1161">
        <v>34</v>
      </c>
    </row>
    <row s="1648" customFormat="1" customHeight="1" ht="0">
      <c r="A49" s="1349" t="s">
        <v>292</v>
      </c>
      <c r="B49" s="1349" t="s">
        <v>293</v>
      </c>
      <c r="C49" s="1349" t="s">
        <v>294</v>
      </c>
      <c r="D49" s="1349" t="s">
        <v>566</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418</v>
      </c>
      <c r="BE49" s="506"/>
      <c r="BF49" s="506" t="str">
        <f>IF(T49="","",T49)</f>
        <v/>
      </c>
      <c r="BG49" s="506"/>
      <c r="BH49" s="506"/>
      <c r="BI49" s="517">
        <v>0</v>
      </c>
    </row>
    <row s="1648" customFormat="1" customHeight="1" ht="0">
      <c r="A50" s="1349" t="s">
        <v>292</v>
      </c>
      <c r="B50" s="1349" t="s">
        <v>293</v>
      </c>
      <c r="C50" s="1349" t="s">
        <v>294</v>
      </c>
      <c r="D50" s="1349" t="s">
        <v>566</v>
      </c>
      <c r="E50" s="2265"/>
      <c r="F50" s="2265"/>
      <c r="G50" s="2265"/>
      <c r="H50" s="2265"/>
      <c r="I50" s="2262" t="str">
        <f>S49&amp;".1"</f>
        <v>.1</v>
      </c>
      <c r="J50" s="1349"/>
      <c r="K50" s="1349"/>
      <c r="L50" s="1352" t="s">
        <v>419</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292</v>
      </c>
      <c r="B51" s="1349" t="s">
        <v>293</v>
      </c>
      <c r="C51" s="1349" t="s">
        <v>294</v>
      </c>
      <c r="D51" s="1349" t="s">
        <v>566</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292</v>
      </c>
      <c r="B52" s="1369" t="s">
        <v>293</v>
      </c>
      <c r="C52" s="1369" t="s">
        <v>294</v>
      </c>
      <c r="D52" s="1369" t="s">
        <v>566</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62</v>
      </c>
      <c r="AB52" s="1740"/>
      <c r="AC52" s="1475" t="s">
        <v>62</v>
      </c>
      <c r="AD52" s="2191" t="s">
        <v>62</v>
      </c>
      <c r="AE52" s="2332"/>
      <c r="AF52" s="2211">
        <v>1</v>
      </c>
      <c r="AG52" s="2369"/>
      <c r="AH52" s="2113" t="s">
        <v>62</v>
      </c>
      <c r="AI52" s="2332"/>
      <c r="AJ52" s="2211">
        <v>1</v>
      </c>
      <c r="AK52" s="2333" t="s">
        <v>28</v>
      </c>
      <c r="AL52" s="2113" t="s">
        <v>62</v>
      </c>
      <c r="AM52" s="2198"/>
      <c r="AN52" s="2211">
        <v>1</v>
      </c>
      <c r="AO52" s="2363"/>
      <c r="AP52" s="2364" t="s">
        <v>62</v>
      </c>
      <c r="AQ52" s="317"/>
      <c r="AR52" s="1492">
        <v>1</v>
      </c>
      <c r="AS52" s="1498" t="s">
        <v>28</v>
      </c>
      <c r="AT52" s="757"/>
      <c r="AU52" s="1263"/>
      <c r="AV52" s="757"/>
      <c r="AW52" s="1263"/>
      <c r="AX52" s="1740"/>
      <c r="AY52" s="1475" t="s">
        <v>62</v>
      </c>
      <c r="AZ52" s="1740"/>
      <c r="BA52" s="1475" t="s">
        <v>62</v>
      </c>
      <c r="BB52" s="1354"/>
      <c r="BC52" s="2259" t="s">
        <v>514</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515</v>
      </c>
      <c r="AT53" s="1399"/>
      <c r="AU53" s="1502"/>
      <c r="AV53" s="1399"/>
      <c r="AW53" s="1502"/>
      <c r="AX53" s="1399"/>
      <c r="AY53" s="1399"/>
      <c r="AZ53" s="1399"/>
      <c r="BA53" s="1399"/>
      <c r="BB53" s="1403"/>
      <c r="BC53" s="2260"/>
      <c r="BE53" s="506"/>
      <c r="BF53" s="506"/>
      <c r="BG53" s="506"/>
      <c r="BH53" s="506"/>
      <c r="BI53" s="1161">
        <v>11</v>
      </c>
    </row>
    <row customHeight="1" ht="11.549999999999999">
      <c r="A54" s="1369" t="s">
        <v>292</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559</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292</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560</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292</v>
      </c>
      <c r="B56" s="1369" t="s">
        <v>293</v>
      </c>
      <c r="C56" s="1369" t="s">
        <v>294</v>
      </c>
      <c r="D56" s="1369" t="s">
        <v>566</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518</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292</v>
      </c>
      <c r="B57" s="1369" t="s">
        <v>293</v>
      </c>
      <c r="C57" s="1369" t="s">
        <v>294</v>
      </c>
      <c r="D57" s="1369" t="s">
        <v>566</v>
      </c>
      <c r="E57" s="2265"/>
      <c r="F57" s="2265"/>
      <c r="G57" s="2265"/>
      <c r="H57" s="2265"/>
      <c r="I57" s="2292"/>
      <c r="J57" s="2262"/>
      <c r="K57" s="1369"/>
      <c r="L57" s="1370"/>
      <c r="P57" s="2263"/>
      <c r="Q57" s="2263"/>
      <c r="R57" s="362"/>
      <c r="S57" s="1284"/>
      <c r="T57" s="293" t="s">
        <v>481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292</v>
      </c>
      <c r="B58" s="1349" t="s">
        <v>293</v>
      </c>
      <c r="C58" s="1349" t="s">
        <v>294</v>
      </c>
      <c r="D58" s="1349" t="s">
        <v>566</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292</v>
      </c>
      <c r="B59" s="1349" t="s">
        <v>293</v>
      </c>
      <c r="C59" s="1349" t="s">
        <v>294</v>
      </c>
      <c r="D59" s="1349" t="s">
        <v>566</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292</v>
      </c>
      <c r="B60" s="1349" t="s">
        <v>293</v>
      </c>
      <c r="C60" s="1349" t="s">
        <v>294</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292</v>
      </c>
      <c r="B61" s="1349" t="s">
        <v>293</v>
      </c>
      <c r="C61" s="1320"/>
      <c r="D61" s="1320"/>
      <c r="E61" s="2265"/>
      <c r="F61" s="2264"/>
      <c r="G61" s="1320"/>
      <c r="H61" s="1320"/>
      <c r="I61" s="1320"/>
      <c r="J61" s="1320"/>
      <c r="K61" s="1320"/>
      <c r="L61" s="1500"/>
      <c r="M61" s="1327"/>
      <c r="N61" s="1327"/>
      <c r="P61" s="1322"/>
      <c r="Q61" s="1323"/>
      <c r="R61" s="1322"/>
      <c r="S61" s="1328"/>
      <c r="T61" s="1331" t="s">
        <v>251</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292</v>
      </c>
      <c r="B62" s="1349"/>
      <c r="C62" s="1349"/>
      <c r="D62" s="1349"/>
      <c r="E62" s="2264"/>
      <c r="F62" s="1349"/>
      <c r="G62" s="1349"/>
      <c r="H62" s="1349"/>
      <c r="I62" s="1349"/>
      <c r="J62" s="1349"/>
      <c r="K62" s="1349"/>
      <c r="L62" s="1352"/>
      <c r="M62" s="1327"/>
      <c r="N62" s="1327"/>
      <c r="O62" s="524"/>
      <c r="P62" s="386"/>
      <c r="Q62" s="1350"/>
      <c r="R62" s="386"/>
      <c r="S62" s="1328"/>
      <c r="T62" s="1331" t="s">
        <v>252</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264</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4.699999999999998">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14</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4.699999999999998">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14</v>
      </c>
    </row>
    <row customHeight="1" ht="14.699999999999998">
      <c r="O68" s="543"/>
      <c r="BI68" s="1161">
        <v>14</v>
      </c>
    </row>
    <row customHeight="1" ht="14.25" hidden="1">
      <c r="A69" s="1166" t="s">
        <v>83</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0E77D5-12F4-F9F8-CC52-B508F6291466}" mc:Ignorable="x14ac xr xr2 xr3">
  <sheetPr>
    <tabColor rgb="FFCCCCFF"/>
    <pageSetUpPr fitToPage="1"/>
  </sheetPr>
  <dimension ref="A1:AC29"/>
  <sheetViews>
    <sheetView showGridLines="0" zoomScale="90" workbookViewId="0" tabSelected="1">
      <pane xSplit="6" ySplit="11" topLeftCell="G12" activePane="bottomRight" state="frozen"/>
      <selection pane="bottomLeft" activeCell="A12" sqref="A12"/>
      <selection pane="topRight" activeCell="G1" sqref="G1"/>
      <selection pane="bottomRight" activeCell="D14" sqref="D14"/>
    </sheetView>
  </sheetViews>
  <sheetFormatPr defaultColWidth="9.140625" customHeight="1" defaultRowHeight="14.25"/>
  <cols>
    <col min="1" max="1" style="1641" width="8.00390625" hidden="1" customWidth="1"/>
    <col min="2" max="2" style="1372" width="6.00390625" hidden="1" customWidth="1"/>
    <col min="3" max="3" style="1641" width="3.00390625" customWidth="1"/>
    <col min="4" max="4" style="1848" width="3.00390625" customWidth="1"/>
    <col min="5" max="5" style="1641" width="6.00390625" customWidth="1"/>
    <col min="6" max="6" style="1641" width="2.7109375" hidden="1" customWidth="1"/>
    <col min="7" max="7" style="1641" width="46.7109375" customWidth="1"/>
    <col min="8" max="8" style="1641" width="42.00390625" customWidth="1"/>
    <col min="9" max="9" style="1641" width="14.00390625" customWidth="1"/>
    <col min="10" max="10" style="1630" width="3.00390625" customWidth="1"/>
    <col min="11" max="13" style="1630" width="9.140625" hidden="1"/>
    <col min="14" max="14" style="1630" width="25.7109375" hidden="1" customWidth="1"/>
    <col min="15" max="15" style="1630" width="14.421875" hidden="1" customWidth="1"/>
    <col min="16" max="19" style="231" width="9.140625" hidden="1"/>
    <col min="20" max="27" style="1641" width="9.140625" hidden="1"/>
    <col min="28" max="28" style="1641" width="8.00390625" customWidth="1"/>
    <col min="29" max="29" style="1641" width="9.140625" hidden="1"/>
  </cols>
  <sheetData>
    <row s="1648" customFormat="1" customHeight="1" ht="5.25" hidden="1">
      <c r="A1" s="502"/>
      <c r="B1" s="517"/>
      <c r="C1" s="517"/>
      <c r="D1" s="227"/>
      <c r="F1" s="517"/>
      <c r="G1" s="253" t="s">
        <v>84</v>
      </c>
      <c r="H1" s="500" t="s">
        <v>85</v>
      </c>
      <c r="I1" s="233" t="s">
        <v>86</v>
      </c>
      <c r="J1" s="253" t="s">
        <v>84</v>
      </c>
      <c r="K1" s="253"/>
      <c r="L1" s="253"/>
      <c r="M1" s="253"/>
      <c r="N1" s="254"/>
      <c r="O1" s="253"/>
      <c r="P1" s="253"/>
      <c r="Q1" s="253"/>
      <c r="R1" s="253"/>
      <c r="S1" s="253"/>
      <c r="T1" s="233"/>
      <c r="U1" s="233"/>
      <c r="V1" s="233"/>
      <c r="W1" s="233"/>
      <c r="X1" s="233"/>
      <c r="Y1" s="233"/>
      <c r="Z1" s="233"/>
      <c r="AA1" s="233"/>
      <c r="AB1" s="233"/>
      <c r="AC1" s="158" t="s">
        <v>14</v>
      </c>
    </row>
    <row s="1418" customFormat="1" customHeight="1" ht="11.25">
      <c r="A2" s="837"/>
      <c r="B2" s="234"/>
      <c r="C2" s="234"/>
      <c r="D2" s="235"/>
      <c r="E2" s="234"/>
      <c r="F2" s="234"/>
      <c r="G2" s="234"/>
      <c r="H2" s="234"/>
      <c r="I2" s="234"/>
      <c r="J2" s="253"/>
      <c r="K2" s="253"/>
      <c r="L2" s="253"/>
      <c r="M2" s="253"/>
      <c r="N2" s="254"/>
      <c r="O2" s="253"/>
      <c r="P2" s="236"/>
      <c r="Q2" s="236"/>
      <c r="R2" s="236"/>
      <c r="S2" s="236"/>
      <c r="T2" s="235"/>
      <c r="U2" s="235"/>
      <c r="V2" s="235"/>
      <c r="W2" s="235"/>
      <c r="X2" s="235"/>
      <c r="Y2" s="235"/>
      <c r="Z2" s="235"/>
      <c r="AA2" s="235"/>
      <c r="AB2" s="235"/>
      <c r="AC2" s="237">
        <v>11</v>
      </c>
    </row>
    <row s="1825" customFormat="1" customHeight="1" ht="3">
      <c r="A3" s="764"/>
      <c r="B3" s="423"/>
      <c r="C3" s="764"/>
      <c r="D3" s="170"/>
      <c r="E3" s="109"/>
      <c r="F3" s="515"/>
      <c r="G3" s="109"/>
      <c r="H3" s="109"/>
      <c r="I3" s="172"/>
      <c r="J3" s="253"/>
      <c r="K3" s="161"/>
      <c r="L3" s="161"/>
      <c r="M3" s="161"/>
      <c r="N3" s="232"/>
      <c r="O3" s="161"/>
      <c r="P3" s="231"/>
      <c r="Q3" s="231"/>
      <c r="R3" s="231"/>
      <c r="S3" s="231"/>
      <c r="AC3" s="122">
        <v>3</v>
      </c>
    </row>
    <row s="1825" customFormat="1" customHeight="1" ht="27.299999999999997">
      <c r="A4" s="764"/>
      <c r="B4" s="423"/>
      <c r="C4" s="764"/>
      <c r="D4" s="170"/>
      <c r="E4" s="2106" t="str">
        <f>NameTemplatesInListMO</f>
        <v>Перечень муниципальных районов и муниципальных образований (территорий действия тарифа)</v>
      </c>
      <c r="F4" s="2106"/>
      <c r="G4" s="2106"/>
      <c r="H4" s="2106"/>
      <c r="I4" s="2106"/>
      <c r="J4" s="253"/>
      <c r="K4" s="161"/>
      <c r="L4" s="161"/>
      <c r="M4" s="161"/>
      <c r="N4" s="232"/>
      <c r="O4" s="161"/>
      <c r="P4" s="231"/>
      <c r="Q4" s="231"/>
      <c r="R4" s="231"/>
      <c r="S4" s="231"/>
      <c r="AC4" s="122">
        <v>26</v>
      </c>
    </row>
    <row s="1825" customFormat="1" customHeight="1" ht="3">
      <c r="A5" s="764"/>
      <c r="B5" s="423"/>
      <c r="C5" s="764"/>
      <c r="D5" s="170"/>
      <c r="E5" s="109"/>
      <c r="F5" s="515"/>
      <c r="G5" s="173"/>
      <c r="H5" s="173"/>
      <c r="I5" s="174"/>
      <c r="J5" s="161"/>
      <c r="K5" s="161"/>
      <c r="L5" s="161"/>
      <c r="M5" s="161"/>
      <c r="N5" s="232"/>
      <c r="O5" s="161"/>
      <c r="P5" s="231"/>
      <c r="Q5" s="231"/>
      <c r="R5" s="231"/>
      <c r="S5" s="231"/>
      <c r="AC5" s="122">
        <v>3</v>
      </c>
    </row>
    <row s="1825" customFormat="1" customHeight="1" ht="20.25" hidden="1">
      <c r="A6" s="843"/>
      <c r="B6" s="839"/>
      <c r="C6" s="175"/>
      <c r="D6" s="170"/>
      <c r="E6" s="785"/>
      <c r="F6" s="785"/>
      <c r="G6" s="173"/>
      <c r="H6" s="176"/>
      <c r="I6" s="176"/>
      <c r="J6" s="161"/>
      <c r="K6" s="161"/>
      <c r="L6" s="161"/>
      <c r="M6" s="161"/>
      <c r="N6" s="232"/>
      <c r="O6" s="161"/>
      <c r="P6" s="231"/>
      <c r="Q6" s="231"/>
      <c r="R6" s="231"/>
      <c r="S6" s="231"/>
      <c r="AC6" s="122">
        <v>0</v>
      </c>
    </row>
    <row customHeight="1" ht="25.5" hidden="1">
      <c r="AC7" s="89">
        <v>0</v>
      </c>
    </row>
    <row s="1825" customFormat="1" customHeight="1" ht="14.699999999999998">
      <c r="A8" s="764"/>
      <c r="B8" s="423"/>
      <c r="C8" s="764"/>
      <c r="D8" s="170"/>
      <c r="E8" s="2107" t="s">
        <v>87</v>
      </c>
      <c r="F8" s="2108"/>
      <c r="G8" s="2109"/>
      <c r="H8" s="2110" t="s">
        <v>88</v>
      </c>
      <c r="I8" s="2110"/>
      <c r="J8" s="161"/>
      <c r="K8" s="161"/>
      <c r="L8" s="161"/>
      <c r="M8" s="161"/>
      <c r="N8" s="232"/>
      <c r="O8" s="161"/>
      <c r="P8" s="231"/>
      <c r="Q8" s="231"/>
      <c r="R8" s="231"/>
      <c r="S8" s="231"/>
      <c r="AC8" s="122">
        <v>14</v>
      </c>
    </row>
    <row s="1825" customFormat="1" customHeight="1" ht="21">
      <c r="A9" s="764"/>
      <c r="B9" s="423"/>
      <c r="C9" s="764"/>
      <c r="D9" s="170"/>
      <c r="E9" s="783" t="s">
        <v>89</v>
      </c>
      <c r="F9" s="783"/>
      <c r="G9" s="178" t="s">
        <v>90</v>
      </c>
      <c r="H9" s="178" t="s">
        <v>90</v>
      </c>
      <c r="I9" s="178" t="s">
        <v>86</v>
      </c>
      <c r="J9" s="161"/>
      <c r="K9" s="161"/>
      <c r="L9" s="161"/>
      <c r="M9" s="161"/>
      <c r="N9" s="232"/>
      <c r="O9" s="161"/>
      <c r="P9" s="231"/>
      <c r="Q9" s="231"/>
      <c r="R9" s="231"/>
      <c r="S9" s="231"/>
      <c r="AC9" s="122">
        <v>20</v>
      </c>
    </row>
    <row customHeight="1" ht="11.549999999999999">
      <c r="D10" s="182"/>
      <c r="E10" s="784" t="s">
        <v>91</v>
      </c>
      <c r="F10" s="784"/>
      <c r="G10" s="229" t="s">
        <v>92</v>
      </c>
      <c r="H10" s="229" t="s">
        <v>93</v>
      </c>
      <c r="I10" s="229" t="s">
        <v>94</v>
      </c>
      <c r="J10" s="192"/>
      <c r="K10" s="192"/>
      <c r="L10" s="192"/>
      <c r="M10" s="192"/>
      <c r="N10" s="177"/>
      <c r="O10" s="192"/>
      <c r="P10" s="230"/>
      <c r="Q10" s="230"/>
      <c r="R10" s="230"/>
      <c r="S10" s="230"/>
      <c r="AC10" s="89">
        <v>11</v>
      </c>
    </row>
    <row s="1825" customFormat="1" customHeight="1" ht="1.05">
      <c r="A11" s="764"/>
      <c r="B11" s="423"/>
      <c r="C11" s="764"/>
      <c r="D11" s="170"/>
      <c r="E11" s="796"/>
      <c r="F11" s="796"/>
      <c r="G11" s="179"/>
      <c r="H11" s="179"/>
      <c r="I11" s="181"/>
      <c r="J11" s="255" t="s">
        <v>95</v>
      </c>
      <c r="K11" s="161"/>
      <c r="L11" s="161"/>
      <c r="M11" s="161" t="s">
        <v>96</v>
      </c>
      <c r="N11" s="232" t="s">
        <v>97</v>
      </c>
      <c r="O11" s="161" t="s">
        <v>98</v>
      </c>
      <c r="P11" s="231"/>
      <c r="Q11" s="231"/>
      <c r="R11" s="231"/>
      <c r="S11" s="231"/>
      <c r="AC11" s="122">
        <v>1</v>
      </c>
    </row>
    <row s="1825" customFormat="1" customHeight="1" ht="15">
      <c r="A12" s="2105">
        <v>1</v>
      </c>
      <c r="B12" s="423"/>
      <c r="C12" s="764"/>
      <c r="D12" s="788"/>
      <c r="E12" s="225">
        <f>A12</f>
        <v>1</v>
      </c>
      <c r="F12" s="808" t="s">
        <v>99</v>
      </c>
      <c r="G12" s="546" t="str">
        <f>"Территория "&amp;E12</f>
        <v>Территория 1</v>
      </c>
      <c r="H12" s="798"/>
      <c r="I12" s="798"/>
      <c r="J12" s="795"/>
      <c r="K12" s="506"/>
      <c r="L12" s="506"/>
      <c r="M12" s="506"/>
      <c r="N12" s="232"/>
      <c r="O12" s="506"/>
      <c r="P12" s="231"/>
      <c r="Q12" s="231"/>
      <c r="R12" s="231"/>
      <c r="S12" s="231"/>
      <c r="AC12" s="513">
        <v>14</v>
      </c>
    </row>
    <row s="1856" customFormat="1" customHeight="1" ht="15.75">
      <c r="A13" s="2105"/>
      <c r="B13" s="423">
        <v>1</v>
      </c>
      <c r="C13" s="423"/>
      <c r="D13" s="806"/>
      <c r="E13" s="786" t="str">
        <f>A12&amp;"."&amp;B13</f>
        <v>1.1</v>
      </c>
      <c r="F13" s="801" t="s">
        <v>100</v>
      </c>
      <c r="G13" s="799" t="s">
        <v>101</v>
      </c>
      <c r="H13" s="799" t="s">
        <v>102</v>
      </c>
      <c r="I13" s="797" t="s">
        <v>103</v>
      </c>
      <c r="J13" s="506">
        <f>MERGEVALUE(G13)</f>
      </c>
      <c r="K13" s="517"/>
      <c r="L13" s="517"/>
      <c r="M13" s="506" t="str">
        <f t="array" ref="M13:M13">IF(ISERROR(MATCH(MID(N13,1,250),MID(note_ter,1,250),0)),"n","y")</f>
        <v>n</v>
      </c>
      <c r="N13" s="517"/>
      <c r="O13" s="506" t="str">
        <f>H13&amp;"("&amp;I13&amp;")"</f>
        <v>Город Нерюнгри(98660101)</v>
      </c>
      <c r="P13" s="423"/>
      <c r="Q13" s="423"/>
      <c r="R13" s="426"/>
      <c r="S13" s="423"/>
      <c r="T13" s="423"/>
      <c r="U13" s="423"/>
      <c r="V13" s="428"/>
      <c r="W13" s="428"/>
      <c r="X13" s="425"/>
      <c r="Y13" s="425"/>
      <c r="Z13" s="425"/>
      <c r="AA13" s="425"/>
      <c r="AB13" s="425"/>
      <c r="AC13" s="429">
        <v>15</v>
      </c>
    </row>
    <row s="1856" customFormat="1" customHeight="1" ht="15.75">
      <c r="A14" s="2105"/>
      <c r="B14" s="423"/>
      <c r="C14" s="418"/>
      <c r="D14" s="807"/>
      <c r="E14" s="427"/>
      <c r="F14" s="183"/>
      <c r="G14" s="421" t="s">
        <v>104</v>
      </c>
      <c r="H14" s="193"/>
      <c r="I14" s="430"/>
      <c r="J14" s="517"/>
      <c r="K14" s="517"/>
      <c r="L14" s="517"/>
      <c r="M14" s="517"/>
      <c r="N14" s="506"/>
      <c r="O14" s="517"/>
      <c r="P14" s="423"/>
      <c r="Q14" s="423"/>
      <c r="R14" s="426"/>
      <c r="S14" s="423"/>
      <c r="T14" s="423"/>
      <c r="U14" s="423"/>
      <c r="V14" s="428"/>
      <c r="W14" s="428"/>
      <c r="X14" s="425"/>
      <c r="Y14" s="425"/>
      <c r="Z14" s="425"/>
      <c r="AA14" s="425"/>
      <c r="AB14" s="425"/>
      <c r="AC14" s="429">
        <v>15</v>
      </c>
    </row>
    <row s="1825" customFormat="1" customHeight="1" ht="14.699999999999998">
      <c r="A15" s="764"/>
      <c r="B15" s="423"/>
      <c r="C15" s="764"/>
      <c r="D15" s="788"/>
      <c r="E15" s="800"/>
      <c r="F15" s="184"/>
      <c r="G15" s="422" t="s">
        <v>105</v>
      </c>
      <c r="H15" s="184"/>
      <c r="I15" s="185"/>
      <c r="J15" s="255"/>
      <c r="K15" s="161"/>
      <c r="L15" s="161"/>
      <c r="M15" s="161"/>
      <c r="N15" s="232" t="s">
        <v>106</v>
      </c>
      <c r="O15" s="161"/>
      <c r="P15" s="231"/>
      <c r="Q15" s="231"/>
      <c r="R15" s="231"/>
      <c r="S15" s="231"/>
      <c r="AC15" s="122">
        <v>14</v>
      </c>
    </row>
    <row s="1825" customFormat="1" customHeight="1" ht="22.049999999999997">
      <c r="A16" s="764"/>
      <c r="B16" s="423"/>
      <c r="C16" s="764"/>
      <c r="D16" s="171"/>
      <c r="E16" s="186"/>
      <c r="F16" s="186"/>
      <c r="G16" s="186"/>
      <c r="H16" s="186"/>
      <c r="I16" s="186"/>
      <c r="J16" s="161"/>
      <c r="K16" s="161"/>
      <c r="L16" s="161"/>
      <c r="M16" s="161"/>
      <c r="N16" s="232"/>
      <c r="O16" s="161"/>
      <c r="P16" s="231"/>
      <c r="Q16" s="231"/>
      <c r="R16" s="231"/>
      <c r="S16" s="231"/>
      <c r="AC16" s="122">
        <v>21</v>
      </c>
    </row>
    <row s="1825" customFormat="1" customHeight="1" ht="14.699999999999998">
      <c r="A17" s="764"/>
      <c r="B17" s="423"/>
      <c r="C17" s="764"/>
      <c r="D17" s="171"/>
      <c r="E17" s="89"/>
      <c r="F17" s="764"/>
      <c r="G17" s="89"/>
      <c r="H17" s="89"/>
      <c r="I17" s="89"/>
      <c r="J17" s="161"/>
      <c r="K17" s="161"/>
      <c r="L17" s="161"/>
      <c r="M17" s="161"/>
      <c r="N17" s="232"/>
      <c r="O17" s="161"/>
      <c r="P17" s="231"/>
      <c r="Q17" s="231"/>
      <c r="R17" s="231"/>
      <c r="S17" s="231"/>
      <c r="AC17" s="122">
        <v>14</v>
      </c>
    </row>
    <row s="1825" customFormat="1" customHeight="1" ht="1.05">
      <c r="A18" s="764"/>
      <c r="B18" s="423"/>
      <c r="C18" s="764"/>
      <c r="D18" s="171"/>
      <c r="E18" s="89"/>
      <c r="F18" s="764"/>
      <c r="G18" s="89"/>
      <c r="H18" s="89"/>
      <c r="I18" s="89"/>
      <c r="J18" s="161"/>
      <c r="K18" s="161"/>
      <c r="L18" s="161"/>
      <c r="M18" s="161"/>
      <c r="N18" s="232"/>
      <c r="O18" s="161"/>
      <c r="P18" s="231"/>
      <c r="Q18" s="231"/>
      <c r="R18" s="231"/>
      <c r="S18" s="231"/>
      <c r="AC18" s="122">
        <v>1</v>
      </c>
    </row>
    <row s="1070" customFormat="1" customHeight="1" ht="10.5">
      <c r="B19" s="840"/>
      <c r="D19" s="188"/>
      <c r="J19" s="161"/>
      <c r="K19" s="161"/>
      <c r="L19" s="161"/>
      <c r="M19" s="161"/>
      <c r="N19" s="232"/>
      <c r="O19" s="161"/>
      <c r="P19" s="231"/>
      <c r="Q19" s="231"/>
      <c r="R19" s="231"/>
      <c r="S19" s="231"/>
      <c r="AC19" s="187">
        <v>10</v>
      </c>
    </row>
    <row s="1070" customFormat="1" customHeight="1" ht="10.5">
      <c r="B20" s="840"/>
      <c r="D20" s="188"/>
      <c r="J20" s="161"/>
      <c r="K20" s="161"/>
      <c r="L20" s="161"/>
      <c r="M20" s="161"/>
      <c r="N20" s="232"/>
      <c r="O20" s="161"/>
      <c r="P20" s="231"/>
      <c r="Q20" s="231"/>
      <c r="R20" s="231"/>
      <c r="S20" s="231"/>
      <c r="AC20" s="187">
        <v>10</v>
      </c>
    </row>
    <row customHeight="1" ht="14.699999999999998">
      <c r="AC21" s="89">
        <v>14</v>
      </c>
    </row>
    <row customHeight="1" ht="14.699999999999998">
      <c r="AC22" s="89">
        <v>14</v>
      </c>
    </row>
    <row customHeight="1" ht="14.699999999999998">
      <c r="AC23" s="89">
        <v>14</v>
      </c>
    </row>
    <row customHeight="1" ht="14.699999999999998">
      <c r="H24" s="70"/>
      <c r="AC24" s="89">
        <v>14</v>
      </c>
    </row>
    <row customHeight="1" ht="14.699999999999998">
      <c r="AC25" s="89">
        <v>14</v>
      </c>
    </row>
    <row customHeight="1" ht="14.699999999999998">
      <c r="AC26" s="89">
        <v>14</v>
      </c>
    </row>
    <row customHeight="1" ht="14.699999999999998">
      <c r="AC27" s="89">
        <v>14</v>
      </c>
    </row>
    <row customHeight="1" ht="14.699999999999998">
      <c r="J28" s="89"/>
      <c r="K28" s="89"/>
      <c r="L28" s="89"/>
      <c r="AC28" s="89">
        <v>14</v>
      </c>
    </row>
    <row customHeight="1" ht="22.5" hidden="1">
      <c r="A29" s="764" t="s">
        <v>83</v>
      </c>
      <c r="B29" s="423">
        <v>0</v>
      </c>
      <c r="C29" s="764">
        <v>3</v>
      </c>
      <c r="D29" s="171">
        <v>3</v>
      </c>
      <c r="E29" s="89">
        <v>6</v>
      </c>
      <c r="F29" s="764">
        <v>0</v>
      </c>
      <c r="G29" s="89">
        <v>46</v>
      </c>
      <c r="H29" s="89">
        <v>42</v>
      </c>
      <c r="I29" s="89">
        <v>14</v>
      </c>
      <c r="J29" s="161">
        <v>3</v>
      </c>
      <c r="K29" s="161">
        <v>0</v>
      </c>
      <c r="L29" s="161">
        <v>0</v>
      </c>
      <c r="M29" s="161">
        <v>0</v>
      </c>
      <c r="N29" s="232">
        <v>0</v>
      </c>
      <c r="O29" s="161">
        <v>0</v>
      </c>
      <c r="P29" s="231">
        <v>0</v>
      </c>
      <c r="Q29" s="231">
        <v>0</v>
      </c>
      <c r="R29" s="231">
        <v>0</v>
      </c>
      <c r="S29" s="231">
        <v>0</v>
      </c>
      <c r="T29" s="89">
        <v>0</v>
      </c>
      <c r="U29" s="89">
        <v>0</v>
      </c>
      <c r="V29" s="89">
        <v>0</v>
      </c>
      <c r="W29" s="89">
        <v>0</v>
      </c>
      <c r="X29" s="89">
        <v>0</v>
      </c>
      <c r="Y29" s="89">
        <v>0</v>
      </c>
      <c r="Z29" s="89">
        <v>0</v>
      </c>
      <c r="AA29" s="89">
        <v>0</v>
      </c>
      <c r="AB29" s="89">
        <v>8</v>
      </c>
      <c r="AC29" s="89">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04BD3F-C529-C632-BA48-049A37894352}"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C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125</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413</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414</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567</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568</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496</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497</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422</v>
      </c>
      <c r="P6" s="2263"/>
      <c r="Q6" s="2263">
        <v>1</v>
      </c>
      <c r="R6" s="363"/>
      <c r="S6" s="1499">
        <f>$J6</f>
      </c>
      <c r="T6" s="292" t="s">
        <v>423</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498</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757"/>
      <c r="AC7" s="2271"/>
      <c r="AD7" s="2113" t="s">
        <v>62</v>
      </c>
      <c r="AE7" s="2271"/>
      <c r="AF7" s="2113" t="s">
        <v>62</v>
      </c>
      <c r="AG7" s="757"/>
      <c r="AH7" s="757"/>
      <c r="AI7" s="757"/>
      <c r="AJ7" s="757"/>
      <c r="AK7" s="757"/>
      <c r="AL7" s="757"/>
      <c r="AM7" s="757"/>
      <c r="AN7" s="2271"/>
      <c r="AO7" s="2113" t="s">
        <v>62</v>
      </c>
      <c r="AP7" s="2293"/>
      <c r="AQ7" s="2113" t="s">
        <v>62</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1"/>
      <c r="AC8" s="2272"/>
      <c r="AD8" s="2113"/>
      <c r="AE8" s="2272"/>
      <c r="AF8" s="2113"/>
      <c r="AG8" s="331"/>
      <c r="AH8" s="331"/>
      <c r="AI8" s="331"/>
      <c r="AJ8" s="331"/>
      <c r="AK8" s="331"/>
      <c r="AL8" s="331"/>
      <c r="AM8" s="331"/>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499</v>
      </c>
      <c r="U9" s="373"/>
      <c r="V9" s="373"/>
      <c r="W9" s="606"/>
      <c r="X9" s="606"/>
      <c r="Y9" s="606"/>
      <c r="Z9" s="606"/>
      <c r="AA9" s="606"/>
      <c r="AB9" s="606"/>
      <c r="AC9" s="373"/>
      <c r="AD9" s="373"/>
      <c r="AE9" s="373"/>
      <c r="AF9" s="373"/>
      <c r="AG9" s="373"/>
      <c r="AH9" s="606"/>
      <c r="AI9" s="606"/>
      <c r="AJ9" s="606"/>
      <c r="AK9" s="606"/>
      <c r="AL9" s="606"/>
      <c r="AM9" s="373"/>
      <c r="AN9" s="373"/>
      <c r="AO9" s="373"/>
      <c r="AP9" s="373"/>
      <c r="AQ9" s="373"/>
      <c r="AR9" s="373"/>
      <c r="AS9" s="1264" t="s">
        <v>500</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428</v>
      </c>
      <c r="U10" s="373"/>
      <c r="V10" s="373"/>
      <c r="W10" s="606"/>
      <c r="X10" s="606"/>
      <c r="Y10" s="606"/>
      <c r="Z10" s="606"/>
      <c r="AA10" s="606"/>
      <c r="AB10" s="606"/>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501</v>
      </c>
      <c r="U11" s="373"/>
      <c r="V11" s="373"/>
      <c r="W11" s="606"/>
      <c r="X11" s="606"/>
      <c r="Y11" s="606"/>
      <c r="Z11" s="606"/>
      <c r="AA11" s="606"/>
      <c r="AB11" s="606"/>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251</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252</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6"/>
      <c r="AN15" s="2273"/>
      <c r="AO15" s="2274" t="s">
        <v>62</v>
      </c>
      <c r="AP15" s="2273"/>
      <c r="AQ15" s="2274" t="s">
        <v>62</v>
      </c>
      <c r="AY15" s="1161">
        <v>0</v>
      </c>
    </row>
    <row customHeight="1" ht="14.25" hidden="1">
      <c r="AG16" s="1366"/>
      <c r="AH16" s="1366"/>
      <c r="AI16" s="1366"/>
      <c r="AJ16" s="1366"/>
      <c r="AK16" s="1366"/>
      <c r="AL16" s="1366"/>
      <c r="AM16" s="1366"/>
      <c r="AN16" s="2274"/>
      <c r="AO16" s="2274"/>
      <c r="AP16" s="2274"/>
      <c r="AQ16" s="2274"/>
      <c r="AY16" s="1161">
        <v>0</v>
      </c>
    </row>
    <row customHeight="1" ht="14.25" hidden="1">
      <c r="AQ17" s="333"/>
      <c r="AY17" s="1161">
        <v>0</v>
      </c>
    </row>
    <row s="1372" customFormat="1" customHeight="1" ht="22.5" hidden="1">
      <c r="L18" s="1484"/>
      <c r="M18" s="1368"/>
      <c r="N18" s="1368"/>
      <c r="O18" s="1373" t="s">
        <v>431</v>
      </c>
      <c r="P18" s="1368"/>
      <c r="Q18" s="1377"/>
      <c r="R18" s="1377"/>
      <c r="S18" s="735"/>
      <c r="W18" s="1372"/>
      <c r="X18" s="1372"/>
      <c r="Y18" s="1372"/>
      <c r="Z18" s="1372"/>
      <c r="AA18" s="1372"/>
      <c r="AB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B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432</v>
      </c>
      <c r="P20" s="1368"/>
      <c r="Q20" s="1448"/>
      <c r="R20" s="1448"/>
      <c r="S20" s="735"/>
      <c r="T20" s="1166" t="s">
        <v>433</v>
      </c>
      <c r="W20" s="1372"/>
      <c r="X20" s="1372"/>
      <c r="Y20" s="1372"/>
      <c r="Z20" s="1372"/>
      <c r="AA20" s="1372"/>
      <c r="AB20" s="1372"/>
      <c r="AD20" s="192" t="s">
        <v>434</v>
      </c>
      <c r="AF20" s="192" t="s">
        <v>435</v>
      </c>
      <c r="AG20" s="1166" t="s">
        <v>433</v>
      </c>
      <c r="AH20" s="1372"/>
      <c r="AI20" s="1372"/>
      <c r="AJ20" s="1372"/>
      <c r="AK20" s="1372"/>
      <c r="AL20" s="1372"/>
      <c r="AO20" s="192" t="s">
        <v>436</v>
      </c>
      <c r="AQ20" s="192" t="s">
        <v>435</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1641"/>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2257"/>
      <c r="AB27" s="2257"/>
      <c r="AC27" s="2257"/>
      <c r="AD27" s="2257"/>
      <c r="AE27" s="2257"/>
      <c r="AF27" s="332"/>
      <c r="AG27" s="2257" t="str">
        <f>IF(TITLE_NAME_OR_PR_CHANGE="",IF(TITLE_NAME_OR_PR="","",TITLE_NAME_OR_PR),TITLE_NAME_OR_PR_CHANGE)</f>
        <v>Государственный комитет по ценовой политике Республики Саха (Якутия)</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c r="A28" s="1374"/>
      <c r="B28" s="1374"/>
      <c r="C28" s="1374"/>
      <c r="D28" s="1374"/>
      <c r="E28" s="1374"/>
      <c r="F28" s="1374"/>
      <c r="G28" s="1374"/>
      <c r="H28" s="1374"/>
      <c r="I28" s="1374"/>
      <c r="J28" s="1374"/>
      <c r="K28" s="1374"/>
      <c r="L28" s="1375"/>
      <c r="M28" s="1374"/>
      <c r="N28" s="1374"/>
      <c r="O28" s="1374"/>
      <c r="S28" s="2256" t="s">
        <v>437</v>
      </c>
      <c r="T28" s="2256"/>
      <c r="U28" s="1378"/>
      <c r="V28" s="2270" t="str">
        <f>IF(TITLE_DATE_PR_CHANGE="",IF(TITLE_DATE_PR="","",TITLE_DATE_PR),TITLE_DATE_PR_CHANGE)</f>
        <v>46003.502546296295</v>
      </c>
      <c r="W28" s="2270"/>
      <c r="X28" s="2270"/>
      <c r="Y28" s="2270"/>
      <c r="Z28" s="2270"/>
      <c r="AA28" s="2270"/>
      <c r="AB28" s="2270"/>
      <c r="AC28" s="2270"/>
      <c r="AD28" s="2270"/>
      <c r="AE28" s="2270"/>
      <c r="AF28" s="332"/>
      <c r="AG28" s="2270" t="str">
        <f>IF(TITLE_DATE_PR_CHANGE="",IF(TITLE_DATE_PR="","",TITLE_DATE_PR),TITLE_DATE_PR_CHANGE)</f>
        <v>46003.502546296295</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c r="A29" s="1374"/>
      <c r="B29" s="1374"/>
      <c r="C29" s="1374"/>
      <c r="D29" s="1374"/>
      <c r="E29" s="1374"/>
      <c r="F29" s="1374"/>
      <c r="G29" s="1374"/>
      <c r="H29" s="1374"/>
      <c r="I29" s="1374"/>
      <c r="J29" s="1374"/>
      <c r="K29" s="1374"/>
      <c r="L29" s="1375"/>
      <c r="M29" s="1374"/>
      <c r="N29" s="1374"/>
      <c r="O29" s="1374"/>
      <c r="S29" s="2256" t="s">
        <v>438</v>
      </c>
      <c r="T29" s="2256"/>
      <c r="U29" s="1378"/>
      <c r="V29" s="2257" t="str">
        <f>IF(TITLE_NUMBER_PR_CHANGE="",IF(TITLE_NUMBER_PR="","",TITLE_NUMBER_PR),TITLE_NUMBER_PR_CHANGE)</f>
        <v>№ 222</v>
      </c>
      <c r="W29" s="2257"/>
      <c r="X29" s="2257"/>
      <c r="Y29" s="2257"/>
      <c r="Z29" s="2257"/>
      <c r="AA29" s="2257"/>
      <c r="AB29" s="2257"/>
      <c r="AC29" s="2257"/>
      <c r="AD29" s="2257"/>
      <c r="AE29" s="2257"/>
      <c r="AF29" s="332"/>
      <c r="AG29" s="2257" t="str">
        <f>IF(TITLE_NUMBER_PR_CHANGE="",IF(TITLE_NUMBER_PR="","",TITLE_NUMBER_PR),TITLE_NUMBER_PR_CHANGE)</f>
        <v>№ 222</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c r="A30" s="1374"/>
      <c r="B30" s="1374"/>
      <c r="C30" s="1374"/>
      <c r="D30" s="1374"/>
      <c r="E30" s="1374"/>
      <c r="F30" s="1374"/>
      <c r="G30" s="1374"/>
      <c r="H30" s="1374"/>
      <c r="I30" s="1374"/>
      <c r="J30" s="1374"/>
      <c r="K30" s="1374"/>
      <c r="L30" s="1375"/>
      <c r="M30" s="1374"/>
      <c r="N30" s="1374"/>
      <c r="O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2257"/>
      <c r="AB30" s="2257"/>
      <c r="AC30" s="2257"/>
      <c r="AD30" s="2257"/>
      <c r="AE30" s="2257"/>
      <c r="AF30" s="332"/>
      <c r="AG30" s="2257" t="str">
        <f>IF(TITLE_IST_PUB_CHANGE="",IF(TITLE_IST_PUB="","",TITLE_IST_PUB),TITLE_IST_PUB_CHANGE)</f>
        <v>Официальный интернет-портал правовой информации http://pravo.gov.ru/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439</v>
      </c>
      <c r="T32" s="2256"/>
      <c r="U32" s="1378"/>
      <c r="V32" s="2270" t="str">
        <f>IF(TITLE_DATE_PR_CHANGE="",IF(TITLE_DATE_PR="","",TITLE_DATE_PR),TITLE_DATE_PR_CHANGE)</f>
        <v>46003.502546296295</v>
      </c>
      <c r="W32" s="2270"/>
      <c r="X32" s="2270"/>
      <c r="Y32" s="2270"/>
      <c r="Z32" s="2270"/>
      <c r="AA32" s="2270"/>
      <c r="AB32" s="2270"/>
      <c r="AC32" s="2270"/>
      <c r="AD32" s="2270"/>
      <c r="AE32" s="2270"/>
      <c r="AF32" s="332"/>
      <c r="AG32" s="2270" t="str">
        <f>IF(TITLE_DATE_PR_CHANGE="",IF(TITLE_DATE_PR="","",TITLE_DATE_PR),TITLE_DATE_PR_CHANGE)</f>
        <v>46003.502546296295</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440</v>
      </c>
      <c r="T33" s="2256"/>
      <c r="U33" s="1378"/>
      <c r="V33" s="2257" t="str">
        <f>IF(TITLE_NUMBER_PR_CHANGE="",IF(TITLE_NUMBER_PR="","",TITLE_NUMBER_PR),TITLE_NUMBER_PR_CHANGE)</f>
        <v>№ 222</v>
      </c>
      <c r="W33" s="2257"/>
      <c r="X33" s="2257"/>
      <c r="Y33" s="2257"/>
      <c r="Z33" s="2257"/>
      <c r="AA33" s="2257"/>
      <c r="AB33" s="2257"/>
      <c r="AC33" s="2257"/>
      <c r="AD33" s="2257"/>
      <c r="AE33" s="2257"/>
      <c r="AF33" s="332"/>
      <c r="AG33" s="2257" t="str">
        <f>IF(TITLE_NUMBER_PR_CHANGE="",IF(TITLE_NUMBER_PR="","",TITLE_NUMBER_PR),TITLE_NUMBER_PR_CHANGE)</f>
        <v>№ 222</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1641"/>
      <c r="AC34" s="332"/>
      <c r="AD34" s="332"/>
      <c r="AE34" s="332"/>
      <c r="AF34" s="284" t="s">
        <v>441</v>
      </c>
      <c r="AG34" s="332"/>
      <c r="AH34" s="1641"/>
      <c r="AI34" s="1641"/>
      <c r="AJ34" s="1641"/>
      <c r="AK34" s="1641"/>
      <c r="AL34" s="1641"/>
      <c r="AM34" s="332"/>
      <c r="AN34" s="332"/>
      <c r="AO34" s="332"/>
      <c r="AP34" s="332"/>
      <c r="AQ34" s="284" t="s">
        <v>441</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316</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317</v>
      </c>
      <c r="AY36" s="1161">
        <v>14</v>
      </c>
    </row>
    <row customHeight="1" ht="14.699999999999998">
      <c r="Q37" s="382"/>
      <c r="R37" s="382"/>
      <c r="S37" s="2279" t="s">
        <v>89</v>
      </c>
      <c r="T37" s="2215" t="s">
        <v>442</v>
      </c>
      <c r="U37" s="307"/>
      <c r="V37" s="2280" t="s">
        <v>443</v>
      </c>
      <c r="W37" s="2297"/>
      <c r="X37" s="2297"/>
      <c r="Y37" s="2297"/>
      <c r="Z37" s="2297"/>
      <c r="AA37" s="2297"/>
      <c r="AB37" s="2297"/>
      <c r="AC37" s="2281"/>
      <c r="AD37" s="2281"/>
      <c r="AE37" s="2282"/>
      <c r="AF37" s="2283" t="s">
        <v>444</v>
      </c>
      <c r="AG37" s="2280" t="s">
        <v>443</v>
      </c>
      <c r="AH37" s="2281"/>
      <c r="AI37" s="2281"/>
      <c r="AJ37" s="2281"/>
      <c r="AK37" s="2281"/>
      <c r="AL37" s="2281"/>
      <c r="AM37" s="2281"/>
      <c r="AN37" s="2281"/>
      <c r="AO37" s="2281"/>
      <c r="AP37" s="2282"/>
      <c r="AQ37" s="2283" t="s">
        <v>445</v>
      </c>
      <c r="AR37" s="2286" t="s">
        <v>446</v>
      </c>
      <c r="AS37" s="2133"/>
      <c r="AY37" s="1161">
        <v>14</v>
      </c>
    </row>
    <row customHeight="1" ht="19.95">
      <c r="Q38" s="382"/>
      <c r="R38" s="382"/>
      <c r="S38" s="2279"/>
      <c r="T38" s="2215"/>
      <c r="U38" s="1037"/>
      <c r="V38" s="2372" t="s">
        <v>569</v>
      </c>
      <c r="W38" s="2371" t="s">
        <v>570</v>
      </c>
      <c r="X38" s="2371"/>
      <c r="Y38" s="2371"/>
      <c r="Z38" s="2371" t="s">
        <v>571</v>
      </c>
      <c r="AA38" s="2371"/>
      <c r="AB38" s="2371"/>
      <c r="AC38" s="2300" t="s">
        <v>450</v>
      </c>
      <c r="AD38" s="2319"/>
      <c r="AE38" s="2320"/>
      <c r="AF38" s="2284"/>
      <c r="AG38" s="2372" t="s">
        <v>569</v>
      </c>
      <c r="AH38" s="2371" t="s">
        <v>570</v>
      </c>
      <c r="AI38" s="2371"/>
      <c r="AJ38" s="2371"/>
      <c r="AK38" s="2371" t="s">
        <v>571</v>
      </c>
      <c r="AL38" s="2371"/>
      <c r="AM38" s="2371"/>
      <c r="AN38" s="2300" t="s">
        <v>450</v>
      </c>
      <c r="AO38" s="2319"/>
      <c r="AP38" s="2320"/>
      <c r="AQ38" s="2284"/>
      <c r="AR38" s="2287"/>
      <c r="AS38" s="2133"/>
      <c r="AY38" s="1161">
        <v>19</v>
      </c>
    </row>
    <row s="1641" customFormat="1" customHeight="1" ht="19.95">
      <c r="A39" s="1372"/>
      <c r="B39" s="1372"/>
      <c r="C39" s="1372"/>
      <c r="D39" s="1372"/>
      <c r="E39" s="1372"/>
      <c r="F39" s="1372"/>
      <c r="G39" s="1372"/>
      <c r="H39" s="1372"/>
      <c r="I39" s="1372"/>
      <c r="J39" s="1372"/>
      <c r="K39" s="1372"/>
      <c r="L39" s="1957"/>
      <c r="M39" s="1368"/>
      <c r="N39" s="1368"/>
      <c r="O39" s="1368"/>
      <c r="P39" s="1971"/>
      <c r="Q39" s="382"/>
      <c r="R39" s="382"/>
      <c r="S39" s="2279"/>
      <c r="T39" s="2215"/>
      <c r="U39" s="1037"/>
      <c r="V39" s="2372"/>
      <c r="W39" s="2371" t="s">
        <v>572</v>
      </c>
      <c r="X39" s="2371" t="s">
        <v>573</v>
      </c>
      <c r="Y39" s="2371"/>
      <c r="Z39" s="2371" t="s">
        <v>574</v>
      </c>
      <c r="AA39" s="2371" t="s">
        <v>573</v>
      </c>
      <c r="AB39" s="2371"/>
      <c r="AC39" s="2301"/>
      <c r="AD39" s="2321"/>
      <c r="AE39" s="2322"/>
      <c r="AF39" s="2284"/>
      <c r="AG39" s="2372"/>
      <c r="AH39" s="2371" t="s">
        <v>572</v>
      </c>
      <c r="AI39" s="2371" t="s">
        <v>573</v>
      </c>
      <c r="AJ39" s="2371"/>
      <c r="AK39" s="2371" t="s">
        <v>574</v>
      </c>
      <c r="AL39" s="2371" t="s">
        <v>573</v>
      </c>
      <c r="AM39" s="2371"/>
      <c r="AN39" s="2301"/>
      <c r="AO39" s="2321"/>
      <c r="AP39" s="2322"/>
      <c r="AQ39" s="2284"/>
      <c r="AR39" s="2287"/>
      <c r="AS39" s="2133"/>
      <c r="AT39" s="1642"/>
      <c r="AU39" s="1642"/>
      <c r="AV39" s="1642"/>
      <c r="AW39" s="1642"/>
      <c r="AX39" s="1642"/>
      <c r="AY39" s="1637">
        <v>19</v>
      </c>
    </row>
    <row customHeight="1" ht="61.949999999999996">
      <c r="A40" s="1376"/>
      <c r="B40" s="1376" t="s">
        <v>137</v>
      </c>
      <c r="C40" s="1376" t="s">
        <v>138</v>
      </c>
      <c r="D40" s="1376" t="s">
        <v>139</v>
      </c>
      <c r="E40" s="1370" t="s">
        <v>451</v>
      </c>
      <c r="F40" s="1370" t="s">
        <v>452</v>
      </c>
      <c r="G40" s="1370" t="s">
        <v>453</v>
      </c>
      <c r="H40" s="1370"/>
      <c r="I40" s="1370" t="s">
        <v>503</v>
      </c>
      <c r="J40" s="1370" t="s">
        <v>456</v>
      </c>
      <c r="K40" s="1370" t="s">
        <v>504</v>
      </c>
      <c r="L40" s="1370" t="s">
        <v>432</v>
      </c>
      <c r="Q40" s="382"/>
      <c r="R40" s="382"/>
      <c r="S40" s="2279"/>
      <c r="T40" s="2215"/>
      <c r="U40" s="308"/>
      <c r="V40" s="2372"/>
      <c r="W40" s="2371"/>
      <c r="X40" s="1989" t="s">
        <v>575</v>
      </c>
      <c r="Y40" s="1989" t="s">
        <v>576</v>
      </c>
      <c r="Z40" s="2371"/>
      <c r="AA40" s="1989" t="s">
        <v>577</v>
      </c>
      <c r="AB40" s="1989" t="s">
        <v>578</v>
      </c>
      <c r="AC40" s="1495" t="s">
        <v>460</v>
      </c>
      <c r="AD40" s="2276" t="s">
        <v>461</v>
      </c>
      <c r="AE40" s="2277"/>
      <c r="AF40" s="2285"/>
      <c r="AG40" s="2372"/>
      <c r="AH40" s="2371"/>
      <c r="AI40" s="1989" t="s">
        <v>575</v>
      </c>
      <c r="AJ40" s="1989" t="s">
        <v>576</v>
      </c>
      <c r="AK40" s="2371"/>
      <c r="AL40" s="1989" t="s">
        <v>577</v>
      </c>
      <c r="AM40" s="1989" t="s">
        <v>578</v>
      </c>
      <c r="AN40" s="1495" t="s">
        <v>460</v>
      </c>
      <c r="AO40" s="2276" t="s">
        <v>461</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111</v>
      </c>
      <c r="T41" s="1261" t="s">
        <v>112</v>
      </c>
      <c r="U41" s="1251" t="str">
        <f>OFFSET(U41,0,-1)</f>
        <v>2</v>
      </c>
      <c r="V41" s="1488">
        <f>OFFSET(V41,0,-1)+1</f>
        <v>3</v>
      </c>
      <c r="W41" s="1347"/>
      <c r="X41" s="1347"/>
      <c r="Y41" s="1347"/>
      <c r="Z41" s="1347"/>
      <c r="AA41" s="1347"/>
      <c r="AB41" s="1347"/>
      <c r="AC41" s="1488">
        <f>OFFSET(AC41,0,-1)+1</f>
        <v>1</v>
      </c>
      <c r="AD41" s="2278">
        <f>OFFSET(AD41,0,-1)+1</f>
        <v>2</v>
      </c>
      <c r="AE41" s="2278"/>
      <c r="AF41" s="1488">
        <f>OFFSET(AF41,0,-2)+1</f>
        <v>3</v>
      </c>
      <c r="AG41" s="1488">
        <f>OFFSET(AG41,0,-1)+1</f>
        <v>4</v>
      </c>
      <c r="AH41" s="1962"/>
      <c r="AI41" s="1962"/>
      <c r="AJ41" s="1962"/>
      <c r="AK41" s="1962"/>
      <c r="AL41" s="1962"/>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267</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125</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267</v>
      </c>
      <c r="B43" s="1369" t="s">
        <v>268</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413</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414</v>
      </c>
      <c r="AU43" s="506"/>
      <c r="AV43" s="506" t="str">
        <f>IF(T43="","",T43)</f>
        <v>Территория действия тарифа</v>
      </c>
      <c r="AW43" s="506"/>
      <c r="AX43" s="506"/>
      <c r="AY43" s="1161">
        <v>23</v>
      </c>
    </row>
    <row customHeight="1" ht="24">
      <c r="A44" s="1369" t="s">
        <v>267</v>
      </c>
      <c r="B44" s="1369" t="s">
        <v>268</v>
      </c>
      <c r="C44" s="1369" t="s">
        <v>269</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567</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568</v>
      </c>
      <c r="AU44" s="506"/>
      <c r="AV44" s="506" t="str">
        <f>IF(T44="","",T44)</f>
        <v>Наименование централизованной системы горячего водоснабжения</v>
      </c>
      <c r="AW44" s="506"/>
      <c r="AX44" s="506"/>
      <c r="AY44" s="1161">
        <v>23</v>
      </c>
    </row>
    <row customHeight="1" ht="24">
      <c r="A45" s="1369" t="s">
        <v>267</v>
      </c>
      <c r="B45" s="1369" t="s">
        <v>268</v>
      </c>
      <c r="C45" s="1369" t="s">
        <v>269</v>
      </c>
      <c r="D45" s="1369" t="s">
        <v>579</v>
      </c>
      <c r="E45" s="2265"/>
      <c r="F45" s="2265"/>
      <c r="G45" s="2265"/>
      <c r="H45" s="2265"/>
      <c r="I45" s="2262" t="str">
        <f>S44&amp;".1"</f>
        <v>...1</v>
      </c>
      <c r="J45" s="1369"/>
      <c r="K45" s="1369"/>
      <c r="L45" s="1370"/>
      <c r="P45" s="2263">
        <v>1</v>
      </c>
      <c r="Q45" s="1487"/>
      <c r="R45" s="362"/>
      <c r="S45" s="1499" t="str">
        <f>$I45</f>
        <v>...1</v>
      </c>
      <c r="T45" s="291" t="s">
        <v>496</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497</v>
      </c>
      <c r="AU45" s="506"/>
      <c r="AV45" s="506" t="str">
        <f>IF(T45="","",T45)</f>
        <v>Наименование признака дифференциации</v>
      </c>
      <c r="AW45" s="506"/>
      <c r="AX45" s="506"/>
      <c r="AY45" s="1161">
        <v>23</v>
      </c>
    </row>
    <row customHeight="1" ht="24">
      <c r="A46" s="1369" t="s">
        <v>267</v>
      </c>
      <c r="B46" s="1369" t="s">
        <v>268</v>
      </c>
      <c r="C46" s="1369" t="s">
        <v>269</v>
      </c>
      <c r="D46" s="1369" t="s">
        <v>579</v>
      </c>
      <c r="E46" s="2265"/>
      <c r="F46" s="2265"/>
      <c r="G46" s="2265"/>
      <c r="H46" s="2265"/>
      <c r="I46" s="2292"/>
      <c r="J46" s="2262" t="str">
        <f>I45&amp;".1"</f>
        <v>...1.1</v>
      </c>
      <c r="K46" s="1369"/>
      <c r="L46" s="1370" t="s">
        <v>422</v>
      </c>
      <c r="P46" s="2263"/>
      <c r="Q46" s="2263">
        <v>1</v>
      </c>
      <c r="R46" s="363"/>
      <c r="S46" s="1499" t="str">
        <f>$J46</f>
        <v>...1.1</v>
      </c>
      <c r="T46" s="292" t="s">
        <v>423</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498</v>
      </c>
      <c r="AU46" s="506"/>
      <c r="AV46" s="506" t="str">
        <f>IF(T46="","",T46)</f>
        <v>Группа потребителей</v>
      </c>
      <c r="AW46" s="506"/>
      <c r="AX46" s="506"/>
      <c r="AY46" s="1161">
        <v>23</v>
      </c>
    </row>
    <row customHeight="1" ht="24">
      <c r="A47" s="1369" t="s">
        <v>267</v>
      </c>
      <c r="B47" s="1369" t="s">
        <v>268</v>
      </c>
      <c r="C47" s="1369" t="s">
        <v>269</v>
      </c>
      <c r="D47" s="1369" t="s">
        <v>579</v>
      </c>
      <c r="E47" s="2265"/>
      <c r="F47" s="2265"/>
      <c r="G47" s="2265"/>
      <c r="H47" s="2265"/>
      <c r="I47" s="2292"/>
      <c r="J47" s="2292"/>
      <c r="K47" s="2262" t="str">
        <f>J46&amp;".1"</f>
        <v>...1.1.1</v>
      </c>
      <c r="L47" s="1370"/>
      <c r="P47" s="2263"/>
      <c r="Q47" s="2263"/>
      <c r="R47" s="363">
        <v>1</v>
      </c>
      <c r="S47" s="1499" t="str">
        <f>$K47</f>
        <v>...1.1.1</v>
      </c>
      <c r="T47" s="1443"/>
      <c r="U47" s="306"/>
      <c r="V47" s="757"/>
      <c r="W47" s="757"/>
      <c r="X47" s="757"/>
      <c r="Y47" s="757"/>
      <c r="Z47" s="757"/>
      <c r="AA47" s="757"/>
      <c r="AB47" s="757"/>
      <c r="AC47" s="2273"/>
      <c r="AD47" s="2274" t="s">
        <v>62</v>
      </c>
      <c r="AE47" s="2273"/>
      <c r="AF47" s="2274" t="s">
        <v>62</v>
      </c>
      <c r="AG47" s="757"/>
      <c r="AH47" s="757"/>
      <c r="AI47" s="757"/>
      <c r="AJ47" s="757"/>
      <c r="AK47" s="757"/>
      <c r="AL47" s="757"/>
      <c r="AM47" s="757"/>
      <c r="AN47" s="2271"/>
      <c r="AO47" s="2113" t="s">
        <v>62</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267</v>
      </c>
      <c r="B48" s="1369" t="s">
        <v>268</v>
      </c>
      <c r="C48" s="1369" t="s">
        <v>269</v>
      </c>
      <c r="D48" s="1369" t="s">
        <v>579</v>
      </c>
      <c r="E48" s="2265"/>
      <c r="F48" s="2265"/>
      <c r="G48" s="2265"/>
      <c r="H48" s="2265"/>
      <c r="I48" s="2292"/>
      <c r="J48" s="2292"/>
      <c r="K48" s="2262"/>
      <c r="L48" s="1370"/>
      <c r="P48" s="2263"/>
      <c r="Q48" s="2263"/>
      <c r="R48" s="363"/>
      <c r="S48" s="1496"/>
      <c r="T48" s="306"/>
      <c r="U48" s="306"/>
      <c r="V48" s="1366"/>
      <c r="W48" s="1366"/>
      <c r="X48" s="1366"/>
      <c r="Y48" s="1366"/>
      <c r="Z48" s="1366"/>
      <c r="AA48" s="1366"/>
      <c r="AB48" s="1366"/>
      <c r="AC48" s="2274"/>
      <c r="AD48" s="2274"/>
      <c r="AE48" s="2274"/>
      <c r="AF48" s="2274"/>
      <c r="AG48" s="331"/>
      <c r="AH48" s="331"/>
      <c r="AI48" s="331"/>
      <c r="AJ48" s="331"/>
      <c r="AK48" s="331"/>
      <c r="AL48" s="331"/>
      <c r="AM48" s="331"/>
      <c r="AN48" s="2272"/>
      <c r="AO48" s="2113"/>
      <c r="AP48" s="2294"/>
      <c r="AQ48" s="2113"/>
      <c r="AR48" s="1445"/>
      <c r="AS48" s="2355"/>
      <c r="AU48" s="506"/>
      <c r="AV48" s="506" t="str">
        <f>IF(T48="","",T48)</f>
        <v/>
      </c>
      <c r="AW48" s="506"/>
      <c r="AX48" s="506"/>
      <c r="AY48" s="1161">
        <v>0</v>
      </c>
    </row>
    <row customHeight="1" ht="21">
      <c r="A49" s="1369" t="s">
        <v>267</v>
      </c>
      <c r="B49" s="1369" t="s">
        <v>268</v>
      </c>
      <c r="C49" s="1369" t="s">
        <v>269</v>
      </c>
      <c r="D49" s="1369" t="s">
        <v>579</v>
      </c>
      <c r="E49" s="2265"/>
      <c r="F49" s="2265"/>
      <c r="G49" s="2265"/>
      <c r="H49" s="2265"/>
      <c r="I49" s="2292"/>
      <c r="J49" s="2262"/>
      <c r="K49" s="1369"/>
      <c r="L49" s="1370"/>
      <c r="P49" s="2263"/>
      <c r="Q49" s="2263"/>
      <c r="R49" s="362"/>
      <c r="S49" s="1284"/>
      <c r="T49" s="293" t="s">
        <v>499</v>
      </c>
      <c r="U49" s="373"/>
      <c r="V49" s="373"/>
      <c r="W49" s="606"/>
      <c r="X49" s="606"/>
      <c r="Y49" s="606"/>
      <c r="Z49" s="606"/>
      <c r="AA49" s="606"/>
      <c r="AB49" s="606"/>
      <c r="AC49" s="373"/>
      <c r="AD49" s="373"/>
      <c r="AE49" s="373"/>
      <c r="AF49" s="373"/>
      <c r="AG49" s="373"/>
      <c r="AH49" s="606"/>
      <c r="AI49" s="606"/>
      <c r="AJ49" s="606"/>
      <c r="AK49" s="606"/>
      <c r="AL49" s="606"/>
      <c r="AM49" s="373"/>
      <c r="AN49" s="373"/>
      <c r="AO49" s="373"/>
      <c r="AP49" s="373"/>
      <c r="AQ49" s="373"/>
      <c r="AR49" s="373"/>
      <c r="AS49" s="1264" t="s">
        <v>500</v>
      </c>
      <c r="AU49" s="506"/>
      <c r="AV49" s="506" t="str">
        <f>IF(T49="","",T49)</f>
        <v>Добавить значение признака дифференциации</v>
      </c>
      <c r="AW49" s="506"/>
      <c r="AX49" s="506"/>
      <c r="AY49" s="1161">
        <v>20</v>
      </c>
    </row>
    <row customHeight="1" ht="22.049999999999997">
      <c r="A50" s="1369" t="s">
        <v>267</v>
      </c>
      <c r="B50" s="1369" t="s">
        <v>268</v>
      </c>
      <c r="C50" s="1369" t="s">
        <v>269</v>
      </c>
      <c r="D50" s="1369" t="s">
        <v>579</v>
      </c>
      <c r="E50" s="2265"/>
      <c r="F50" s="2265"/>
      <c r="G50" s="2265"/>
      <c r="H50" s="2265"/>
      <c r="I50" s="2262"/>
      <c r="J50" s="1369"/>
      <c r="K50" s="1369"/>
      <c r="L50" s="1370"/>
      <c r="P50" s="2263"/>
      <c r="Q50" s="1487"/>
      <c r="R50" s="362"/>
      <c r="S50" s="1284"/>
      <c r="T50" s="371" t="s">
        <v>428</v>
      </c>
      <c r="U50" s="373"/>
      <c r="V50" s="373"/>
      <c r="W50" s="606"/>
      <c r="X50" s="606"/>
      <c r="Y50" s="606"/>
      <c r="Z50" s="606"/>
      <c r="AA50" s="606"/>
      <c r="AB50" s="606"/>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267</v>
      </c>
      <c r="B51" s="1369" t="s">
        <v>268</v>
      </c>
      <c r="C51" s="1369" t="s">
        <v>269</v>
      </c>
      <c r="D51" s="1369" t="s">
        <v>579</v>
      </c>
      <c r="E51" s="2265"/>
      <c r="F51" s="2265"/>
      <c r="G51" s="2265"/>
      <c r="H51" s="2264"/>
      <c r="I51" s="1369"/>
      <c r="J51" s="1369"/>
      <c r="K51" s="1369"/>
      <c r="L51" s="1370"/>
      <c r="M51" s="1371"/>
      <c r="N51" s="1371"/>
      <c r="O51" s="543"/>
      <c r="P51" s="366"/>
      <c r="Q51" s="381"/>
      <c r="R51" s="361"/>
      <c r="S51" s="1284"/>
      <c r="T51" s="378" t="s">
        <v>501</v>
      </c>
      <c r="U51" s="373"/>
      <c r="V51" s="373"/>
      <c r="W51" s="606"/>
      <c r="X51" s="606"/>
      <c r="Y51" s="606"/>
      <c r="Z51" s="606"/>
      <c r="AA51" s="606"/>
      <c r="AB51" s="606"/>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267</v>
      </c>
      <c r="B52" s="1349" t="s">
        <v>268</v>
      </c>
      <c r="C52" s="1320"/>
      <c r="D52" s="1320"/>
      <c r="E52" s="2265"/>
      <c r="F52" s="2264"/>
      <c r="G52" s="1320"/>
      <c r="H52" s="1320"/>
      <c r="I52" s="1320"/>
      <c r="J52" s="1320"/>
      <c r="K52" s="1320"/>
      <c r="L52" s="1500"/>
      <c r="M52" s="1327"/>
      <c r="N52" s="1327"/>
      <c r="P52" s="1322"/>
      <c r="Q52" s="1323"/>
      <c r="R52" s="1322"/>
      <c r="S52" s="1328"/>
      <c r="T52" s="1331" t="s">
        <v>251</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267</v>
      </c>
      <c r="B53" s="1349"/>
      <c r="C53" s="1349"/>
      <c r="D53" s="1349"/>
      <c r="E53" s="2264"/>
      <c r="F53" s="1349"/>
      <c r="G53" s="1349"/>
      <c r="H53" s="1349"/>
      <c r="I53" s="1349"/>
      <c r="J53" s="1349"/>
      <c r="K53" s="1349"/>
      <c r="L53" s="1352"/>
      <c r="M53" s="1327"/>
      <c r="N53" s="1327"/>
      <c r="O53" s="524"/>
      <c r="P53" s="386"/>
      <c r="Q53" s="1350"/>
      <c r="R53" s="386"/>
      <c r="S53" s="1328"/>
      <c r="T53" s="1331" t="s">
        <v>252</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264</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83</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637">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C54F15-DE6C-F397-6ECD-CC6291DA4D51}"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B1" s="333"/>
      <c r="AC1" s="333"/>
      <c r="AM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125</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413</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414</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567</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568</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496</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497</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422</v>
      </c>
      <c r="P6" s="2263"/>
      <c r="Q6" s="2263">
        <v>1</v>
      </c>
      <c r="R6" s="363"/>
      <c r="S6" s="1499">
        <f>$J6</f>
      </c>
      <c r="T6" s="292" t="s">
        <v>423</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498</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1263"/>
      <c r="AC7" s="2271"/>
      <c r="AD7" s="2113" t="s">
        <v>62</v>
      </c>
      <c r="AE7" s="2271"/>
      <c r="AF7" s="2113" t="s">
        <v>62</v>
      </c>
      <c r="AG7" s="757"/>
      <c r="AH7" s="757"/>
      <c r="AI7" s="757"/>
      <c r="AJ7" s="757"/>
      <c r="AK7" s="757"/>
      <c r="AL7" s="757"/>
      <c r="AM7" s="1263"/>
      <c r="AN7" s="2271"/>
      <c r="AO7" s="2113" t="s">
        <v>62</v>
      </c>
      <c r="AP7" s="2293"/>
      <c r="AQ7" s="2113" t="s">
        <v>62</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4" t="str">
        <f>AC7&amp;"-"&amp;AE7</f>
        <v>-</v>
      </c>
      <c r="AC8" s="2272"/>
      <c r="AD8" s="2113"/>
      <c r="AE8" s="2272"/>
      <c r="AF8" s="2113"/>
      <c r="AG8" s="331"/>
      <c r="AH8" s="331"/>
      <c r="AI8" s="331"/>
      <c r="AJ8" s="331"/>
      <c r="AK8" s="331"/>
      <c r="AL8" s="331"/>
      <c r="AM8" s="334" t="str">
        <f>AN7&amp;"-"&amp;AP7</f>
        <v>-</v>
      </c>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499</v>
      </c>
      <c r="U9" s="373"/>
      <c r="V9" s="373"/>
      <c r="W9" s="606"/>
      <c r="X9" s="606"/>
      <c r="Y9" s="606"/>
      <c r="Z9" s="606"/>
      <c r="AA9" s="606"/>
      <c r="AB9" s="373"/>
      <c r="AC9" s="373"/>
      <c r="AD9" s="373"/>
      <c r="AE9" s="373"/>
      <c r="AF9" s="373"/>
      <c r="AG9" s="373"/>
      <c r="AH9" s="606"/>
      <c r="AI9" s="606"/>
      <c r="AJ9" s="606"/>
      <c r="AK9" s="606"/>
      <c r="AL9" s="606"/>
      <c r="AM9" s="373"/>
      <c r="AN9" s="373"/>
      <c r="AO9" s="373"/>
      <c r="AP9" s="373"/>
      <c r="AQ9" s="373"/>
      <c r="AR9" s="373"/>
      <c r="AS9" s="1264" t="s">
        <v>500</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428</v>
      </c>
      <c r="U10" s="373"/>
      <c r="V10" s="373"/>
      <c r="W10" s="606"/>
      <c r="X10" s="606"/>
      <c r="Y10" s="606"/>
      <c r="Z10" s="606"/>
      <c r="AA10" s="606"/>
      <c r="AB10" s="373"/>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501</v>
      </c>
      <c r="U11" s="373"/>
      <c r="V11" s="373"/>
      <c r="W11" s="606"/>
      <c r="X11" s="606"/>
      <c r="Y11" s="606"/>
      <c r="Z11" s="606"/>
      <c r="AA11" s="606"/>
      <c r="AB11" s="373"/>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251</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252</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7"/>
      <c r="AN15" s="2273"/>
      <c r="AO15" s="2274" t="s">
        <v>62</v>
      </c>
      <c r="AP15" s="2273"/>
      <c r="AQ15" s="2274" t="s">
        <v>62</v>
      </c>
      <c r="AY15" s="1161">
        <v>0</v>
      </c>
    </row>
    <row customHeight="1" ht="14.25" hidden="1">
      <c r="AG16" s="1366"/>
      <c r="AH16" s="1366"/>
      <c r="AI16" s="1366"/>
      <c r="AJ16" s="1366"/>
      <c r="AK16" s="1366"/>
      <c r="AL16" s="1366"/>
      <c r="AM16" s="334" t="str">
        <f>AN15&amp;"-"&amp;AP15</f>
        <v>-</v>
      </c>
      <c r="AN16" s="2274"/>
      <c r="AO16" s="2274"/>
      <c r="AP16" s="2274"/>
      <c r="AQ16" s="2274"/>
      <c r="AY16" s="1161">
        <v>0</v>
      </c>
    </row>
    <row customHeight="1" ht="14.25" hidden="1">
      <c r="AQ17" s="333"/>
      <c r="AY17" s="1161">
        <v>0</v>
      </c>
    </row>
    <row s="1372" customFormat="1" customHeight="1" ht="22.5" hidden="1">
      <c r="L18" s="1484"/>
      <c r="M18" s="1368"/>
      <c r="N18" s="1368"/>
      <c r="O18" s="1373" t="s">
        <v>431</v>
      </c>
      <c r="P18" s="1368"/>
      <c r="Q18" s="1377"/>
      <c r="R18" s="1377"/>
      <c r="S18" s="735"/>
      <c r="W18" s="1372"/>
      <c r="X18" s="1372"/>
      <c r="Y18" s="1372"/>
      <c r="Z18" s="1372"/>
      <c r="AA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432</v>
      </c>
      <c r="P20" s="1368"/>
      <c r="Q20" s="1448"/>
      <c r="R20" s="1448"/>
      <c r="S20" s="735"/>
      <c r="T20" s="1166" t="s">
        <v>433</v>
      </c>
      <c r="W20" s="1372"/>
      <c r="X20" s="1372"/>
      <c r="Y20" s="1372"/>
      <c r="Z20" s="1372"/>
      <c r="AA20" s="1372"/>
      <c r="AD20" s="192" t="s">
        <v>434</v>
      </c>
      <c r="AF20" s="192" t="s">
        <v>435</v>
      </c>
      <c r="AG20" s="1166" t="s">
        <v>433</v>
      </c>
      <c r="AH20" s="1372"/>
      <c r="AI20" s="1372"/>
      <c r="AJ20" s="1372"/>
      <c r="AK20" s="1372"/>
      <c r="AL20" s="1372"/>
      <c r="AO20" s="192" t="s">
        <v>436</v>
      </c>
      <c r="AQ20" s="192" t="s">
        <v>435</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515"/>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АО «ДГК» СП «Нерюнгринская ГРЭС»</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Государственный комитет по ценовой политике Республики Саха (Якутия)</v>
      </c>
      <c r="W27" s="2257"/>
      <c r="X27" s="2257"/>
      <c r="Y27" s="2257"/>
      <c r="Z27" s="2257"/>
      <c r="AA27" s="2257"/>
      <c r="AB27" s="2257"/>
      <c r="AC27" s="2257"/>
      <c r="AD27" s="2257"/>
      <c r="AE27" s="2257"/>
      <c r="AF27" s="332"/>
      <c r="AG27" s="2257" t="str">
        <f>IF(TITLE_NAME_OR_PR_CHANGE="",IF(TITLE_NAME_OR_PR="","",TITLE_NAME_OR_PR),TITLE_NAME_OR_PR_CHANGE)</f>
        <v>Государственный комитет по ценовой политике Республики Саха (Якутия)</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c r="A28" s="1374"/>
      <c r="B28" s="1374"/>
      <c r="C28" s="1374"/>
      <c r="D28" s="1374"/>
      <c r="E28" s="1374"/>
      <c r="F28" s="1374"/>
      <c r="G28" s="1374"/>
      <c r="H28" s="1374"/>
      <c r="I28" s="1374"/>
      <c r="J28" s="1374"/>
      <c r="K28" s="1374"/>
      <c r="L28" s="1375"/>
      <c r="M28" s="1374"/>
      <c r="N28" s="1374"/>
      <c r="O28" s="1374"/>
      <c r="S28" s="2256" t="s">
        <v>437</v>
      </c>
      <c r="T28" s="2256"/>
      <c r="U28" s="1378"/>
      <c r="V28" s="2270" t="str">
        <f>IF(TITLE_DATE_PR_CHANGE="",IF(TITLE_DATE_PR="","",TITLE_DATE_PR),TITLE_DATE_PR_CHANGE)</f>
        <v>46003.502546296295</v>
      </c>
      <c r="W28" s="2270"/>
      <c r="X28" s="2270"/>
      <c r="Y28" s="2270"/>
      <c r="Z28" s="2270"/>
      <c r="AA28" s="2270"/>
      <c r="AB28" s="2270"/>
      <c r="AC28" s="2270"/>
      <c r="AD28" s="2270"/>
      <c r="AE28" s="2270"/>
      <c r="AF28" s="332"/>
      <c r="AG28" s="2270" t="str">
        <f>IF(TITLE_DATE_PR_CHANGE="",IF(TITLE_DATE_PR="","",TITLE_DATE_PR),TITLE_DATE_PR_CHANGE)</f>
        <v>46003.502546296295</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c r="A29" s="1374"/>
      <c r="B29" s="1374"/>
      <c r="C29" s="1374"/>
      <c r="D29" s="1374"/>
      <c r="E29" s="1374"/>
      <c r="F29" s="1374"/>
      <c r="G29" s="1374"/>
      <c r="H29" s="1374"/>
      <c r="I29" s="1374"/>
      <c r="J29" s="1374"/>
      <c r="K29" s="1374"/>
      <c r="L29" s="1375"/>
      <c r="M29" s="1374"/>
      <c r="N29" s="1374"/>
      <c r="O29" s="1374"/>
      <c r="S29" s="2256" t="s">
        <v>438</v>
      </c>
      <c r="T29" s="2256"/>
      <c r="U29" s="1378"/>
      <c r="V29" s="2257" t="str">
        <f>IF(TITLE_NUMBER_PR_CHANGE="",IF(TITLE_NUMBER_PR="","",TITLE_NUMBER_PR),TITLE_NUMBER_PR_CHANGE)</f>
        <v>№ 222</v>
      </c>
      <c r="W29" s="2257"/>
      <c r="X29" s="2257"/>
      <c r="Y29" s="2257"/>
      <c r="Z29" s="2257"/>
      <c r="AA29" s="2257"/>
      <c r="AB29" s="2257"/>
      <c r="AC29" s="2257"/>
      <c r="AD29" s="2257"/>
      <c r="AE29" s="2257"/>
      <c r="AF29" s="332"/>
      <c r="AG29" s="2257" t="str">
        <f>IF(TITLE_NUMBER_PR_CHANGE="",IF(TITLE_NUMBER_PR="","",TITLE_NUMBER_PR),TITLE_NUMBER_PR_CHANGE)</f>
        <v>№ 222</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c r="A30" s="1374"/>
      <c r="B30" s="1374"/>
      <c r="C30" s="1374"/>
      <c r="D30" s="1374"/>
      <c r="E30" s="1374"/>
      <c r="F30" s="1374"/>
      <c r="G30" s="1374"/>
      <c r="H30" s="1374"/>
      <c r="I30" s="1374"/>
      <c r="J30" s="1374"/>
      <c r="K30" s="1374"/>
      <c r="L30" s="1375"/>
      <c r="M30" s="1374"/>
      <c r="N30" s="1374"/>
      <c r="O30" s="1374"/>
      <c r="S30" s="2256" t="s">
        <v>44</v>
      </c>
      <c r="T30" s="2256"/>
      <c r="U30" s="1378"/>
      <c r="V30" s="2257" t="str">
        <f>IF(TITLE_IST_PUB_CHANGE="",IF(TITLE_IST_PUB="","",TITLE_IST_PUB),TITLE_IST_PUB_CHANGE)</f>
        <v>Официальный интернет-портал правовой информации http://pravo.gov.ru/ </v>
      </c>
      <c r="W30" s="2257"/>
      <c r="X30" s="2257"/>
      <c r="Y30" s="2257"/>
      <c r="Z30" s="2257"/>
      <c r="AA30" s="2257"/>
      <c r="AB30" s="2257"/>
      <c r="AC30" s="2257"/>
      <c r="AD30" s="2257"/>
      <c r="AE30" s="2257"/>
      <c r="AF30" s="332"/>
      <c r="AG30" s="2257" t="str">
        <f>IF(TITLE_IST_PUB_CHANGE="",IF(TITLE_IST_PUB="","",TITLE_IST_PUB),TITLE_IST_PUB_CHANGE)</f>
        <v>Официальный интернет-портал правовой информации http://pravo.gov.ru/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439</v>
      </c>
      <c r="T32" s="2256"/>
      <c r="U32" s="1378"/>
      <c r="V32" s="2270" t="str">
        <f>IF(TITLE_DATE_PR_CHANGE="",IF(TITLE_DATE_PR="","",TITLE_DATE_PR),TITLE_DATE_PR_CHANGE)</f>
        <v>46003.502546296295</v>
      </c>
      <c r="W32" s="2270"/>
      <c r="X32" s="2270"/>
      <c r="Y32" s="2270"/>
      <c r="Z32" s="2270"/>
      <c r="AA32" s="2270"/>
      <c r="AB32" s="2270"/>
      <c r="AC32" s="2270"/>
      <c r="AD32" s="2270"/>
      <c r="AE32" s="2270"/>
      <c r="AF32" s="332"/>
      <c r="AG32" s="2270" t="str">
        <f>IF(TITLE_DATE_PR_CHANGE="",IF(TITLE_DATE_PR="","",TITLE_DATE_PR),TITLE_DATE_PR_CHANGE)</f>
        <v>46003.502546296295</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440</v>
      </c>
      <c r="T33" s="2256"/>
      <c r="U33" s="1378"/>
      <c r="V33" s="2257" t="str">
        <f>IF(TITLE_NUMBER_PR_CHANGE="",IF(TITLE_NUMBER_PR="","",TITLE_NUMBER_PR),TITLE_NUMBER_PR_CHANGE)</f>
        <v>№ 222</v>
      </c>
      <c r="W33" s="2257"/>
      <c r="X33" s="2257"/>
      <c r="Y33" s="2257"/>
      <c r="Z33" s="2257"/>
      <c r="AA33" s="2257"/>
      <c r="AB33" s="2257"/>
      <c r="AC33" s="2257"/>
      <c r="AD33" s="2257"/>
      <c r="AE33" s="2257"/>
      <c r="AF33" s="332"/>
      <c r="AG33" s="2257" t="str">
        <f>IF(TITLE_NUMBER_PR_CHANGE="",IF(TITLE_NUMBER_PR="","",TITLE_NUMBER_PR),TITLE_NUMBER_PR_CHANGE)</f>
        <v>№ 222</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332"/>
      <c r="AC34" s="332"/>
      <c r="AD34" s="332"/>
      <c r="AE34" s="332"/>
      <c r="AF34" s="284" t="s">
        <v>441</v>
      </c>
      <c r="AG34" s="332"/>
      <c r="AH34" s="1641"/>
      <c r="AI34" s="1641"/>
      <c r="AJ34" s="1641"/>
      <c r="AK34" s="1641"/>
      <c r="AL34" s="1641"/>
      <c r="AM34" s="332"/>
      <c r="AN34" s="332"/>
      <c r="AO34" s="332"/>
      <c r="AP34" s="332"/>
      <c r="AQ34" s="284" t="s">
        <v>441</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316</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317</v>
      </c>
      <c r="AY36" s="1161">
        <v>14</v>
      </c>
    </row>
    <row customHeight="1" ht="14.699999999999998">
      <c r="Q37" s="382"/>
      <c r="R37" s="382"/>
      <c r="S37" s="2279" t="s">
        <v>89</v>
      </c>
      <c r="T37" s="2215" t="s">
        <v>442</v>
      </c>
      <c r="U37" s="307"/>
      <c r="V37" s="2280" t="s">
        <v>443</v>
      </c>
      <c r="W37" s="2281"/>
      <c r="X37" s="2281"/>
      <c r="Y37" s="2281"/>
      <c r="Z37" s="2281"/>
      <c r="AA37" s="2281"/>
      <c r="AB37" s="2281"/>
      <c r="AC37" s="2281"/>
      <c r="AD37" s="2281"/>
      <c r="AE37" s="2282"/>
      <c r="AF37" s="2283" t="s">
        <v>444</v>
      </c>
      <c r="AG37" s="2280" t="s">
        <v>443</v>
      </c>
      <c r="AH37" s="2281"/>
      <c r="AI37" s="2281"/>
      <c r="AJ37" s="2281"/>
      <c r="AK37" s="2281"/>
      <c r="AL37" s="2281"/>
      <c r="AM37" s="2281"/>
      <c r="AN37" s="2281"/>
      <c r="AO37" s="2281"/>
      <c r="AP37" s="2282"/>
      <c r="AQ37" s="2283" t="s">
        <v>445</v>
      </c>
      <c r="AR37" s="2286" t="s">
        <v>446</v>
      </c>
      <c r="AS37" s="2133"/>
      <c r="AY37" s="1161">
        <v>14</v>
      </c>
    </row>
    <row s="1641" customFormat="1" customHeight="1" ht="19.95">
      <c r="A38" s="1372"/>
      <c r="B38" s="1372"/>
      <c r="C38" s="1372"/>
      <c r="D38" s="1372"/>
      <c r="E38" s="1372"/>
      <c r="F38" s="1372"/>
      <c r="G38" s="1372"/>
      <c r="H38" s="1372"/>
      <c r="I38" s="1372"/>
      <c r="J38" s="1372"/>
      <c r="K38" s="1372"/>
      <c r="L38" s="1986"/>
      <c r="M38" s="1368"/>
      <c r="N38" s="1368"/>
      <c r="O38" s="1368"/>
      <c r="P38" s="1987"/>
      <c r="Q38" s="382"/>
      <c r="R38" s="382"/>
      <c r="S38" s="2279"/>
      <c r="T38" s="2215"/>
      <c r="U38" s="1037"/>
      <c r="V38" s="2372" t="s">
        <v>569</v>
      </c>
      <c r="W38" s="2371" t="s">
        <v>570</v>
      </c>
      <c r="X38" s="2371"/>
      <c r="Y38" s="2371"/>
      <c r="Z38" s="2371" t="s">
        <v>571</v>
      </c>
      <c r="AA38" s="2371"/>
      <c r="AB38" s="2371"/>
      <c r="AC38" s="2300" t="s">
        <v>450</v>
      </c>
      <c r="AD38" s="2319"/>
      <c r="AE38" s="2320"/>
      <c r="AF38" s="2284"/>
      <c r="AG38" s="2372" t="s">
        <v>569</v>
      </c>
      <c r="AH38" s="2371" t="s">
        <v>570</v>
      </c>
      <c r="AI38" s="2371"/>
      <c r="AJ38" s="2371"/>
      <c r="AK38" s="2371" t="s">
        <v>571</v>
      </c>
      <c r="AL38" s="2371"/>
      <c r="AM38" s="2371"/>
      <c r="AN38" s="2300" t="s">
        <v>450</v>
      </c>
      <c r="AO38" s="2319"/>
      <c r="AP38" s="2320"/>
      <c r="AQ38" s="2284"/>
      <c r="AR38" s="2287"/>
      <c r="AS38" s="2133"/>
      <c r="AT38" s="1642"/>
      <c r="AU38" s="1642"/>
      <c r="AV38" s="1642"/>
      <c r="AW38" s="1642"/>
      <c r="AX38" s="1642"/>
      <c r="AY38" s="1637">
        <v>19</v>
      </c>
    </row>
    <row customHeight="1" ht="19.95">
      <c r="Q39" s="382"/>
      <c r="R39" s="382"/>
      <c r="S39" s="2279"/>
      <c r="T39" s="2215"/>
      <c r="U39" s="1037"/>
      <c r="V39" s="2372"/>
      <c r="W39" s="2371" t="s">
        <v>572</v>
      </c>
      <c r="X39" s="2371" t="s">
        <v>573</v>
      </c>
      <c r="Y39" s="2371"/>
      <c r="Z39" s="2371" t="s">
        <v>574</v>
      </c>
      <c r="AA39" s="2371" t="s">
        <v>573</v>
      </c>
      <c r="AB39" s="2371"/>
      <c r="AC39" s="2301"/>
      <c r="AD39" s="2321"/>
      <c r="AE39" s="2322"/>
      <c r="AF39" s="2284"/>
      <c r="AG39" s="2372"/>
      <c r="AH39" s="2371" t="s">
        <v>572</v>
      </c>
      <c r="AI39" s="2371" t="s">
        <v>573</v>
      </c>
      <c r="AJ39" s="2371"/>
      <c r="AK39" s="2371" t="s">
        <v>574</v>
      </c>
      <c r="AL39" s="2371" t="s">
        <v>573</v>
      </c>
      <c r="AM39" s="2371"/>
      <c r="AN39" s="2301"/>
      <c r="AO39" s="2321"/>
      <c r="AP39" s="2322"/>
      <c r="AQ39" s="2284"/>
      <c r="AR39" s="2287"/>
      <c r="AS39" s="2133"/>
      <c r="AY39" s="1161">
        <v>19</v>
      </c>
    </row>
    <row customHeight="1" ht="61.949999999999996">
      <c r="A40" s="1376"/>
      <c r="B40" s="1376" t="s">
        <v>137</v>
      </c>
      <c r="C40" s="1376" t="s">
        <v>138</v>
      </c>
      <c r="D40" s="1376" t="s">
        <v>139</v>
      </c>
      <c r="E40" s="1370" t="s">
        <v>451</v>
      </c>
      <c r="F40" s="1370" t="s">
        <v>452</v>
      </c>
      <c r="G40" s="1370" t="s">
        <v>453</v>
      </c>
      <c r="H40" s="1370"/>
      <c r="I40" s="1370" t="s">
        <v>503</v>
      </c>
      <c r="J40" s="1370" t="s">
        <v>456</v>
      </c>
      <c r="K40" s="1370" t="s">
        <v>504</v>
      </c>
      <c r="L40" s="1370" t="s">
        <v>432</v>
      </c>
      <c r="Q40" s="382"/>
      <c r="R40" s="382"/>
      <c r="S40" s="2279"/>
      <c r="T40" s="2215"/>
      <c r="U40" s="308"/>
      <c r="V40" s="2372"/>
      <c r="W40" s="2371"/>
      <c r="X40" s="1989" t="s">
        <v>575</v>
      </c>
      <c r="Y40" s="1989" t="s">
        <v>576</v>
      </c>
      <c r="Z40" s="2371"/>
      <c r="AA40" s="1989" t="s">
        <v>577</v>
      </c>
      <c r="AB40" s="1989" t="s">
        <v>578</v>
      </c>
      <c r="AC40" s="1495" t="s">
        <v>460</v>
      </c>
      <c r="AD40" s="2276" t="s">
        <v>461</v>
      </c>
      <c r="AE40" s="2277"/>
      <c r="AF40" s="2285"/>
      <c r="AG40" s="2372"/>
      <c r="AH40" s="2371"/>
      <c r="AI40" s="1989" t="s">
        <v>575</v>
      </c>
      <c r="AJ40" s="1989" t="s">
        <v>576</v>
      </c>
      <c r="AK40" s="2371"/>
      <c r="AL40" s="1989" t="s">
        <v>577</v>
      </c>
      <c r="AM40" s="1989" t="s">
        <v>578</v>
      </c>
      <c r="AN40" s="1495" t="s">
        <v>460</v>
      </c>
      <c r="AO40" s="2276" t="s">
        <v>461</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111</v>
      </c>
      <c r="T41" s="1261" t="s">
        <v>112</v>
      </c>
      <c r="U41" s="1251" t="str">
        <f>OFFSET(U41,0,-1)</f>
        <v>2</v>
      </c>
      <c r="V41" s="1488">
        <f>OFFSET(V41,0,-1)+1</f>
        <v>3</v>
      </c>
      <c r="W41" s="1985"/>
      <c r="X41" s="1985"/>
      <c r="Y41" s="1985"/>
      <c r="Z41" s="1985"/>
      <c r="AA41" s="1985"/>
      <c r="AB41" s="1488">
        <f>OFFSET(AB41,0,-1)+1</f>
        <v>1</v>
      </c>
      <c r="AC41" s="1488">
        <f>OFFSET(AC41,0,-1)+1</f>
        <v>2</v>
      </c>
      <c r="AD41" s="2278">
        <f>OFFSET(AD41,0,-1)+1</f>
        <v>3</v>
      </c>
      <c r="AE41" s="2278"/>
      <c r="AF41" s="1488">
        <f>OFFSET(AF41,0,-2)+1</f>
        <v>4</v>
      </c>
      <c r="AG41" s="1488">
        <f>OFFSET(AG41,0,-1)+1</f>
        <v>5</v>
      </c>
      <c r="AH41" s="1985"/>
      <c r="AI41" s="1985"/>
      <c r="AJ41" s="1985"/>
      <c r="AK41" s="1985"/>
      <c r="AL41" s="1985"/>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272</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125</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272</v>
      </c>
      <c r="B43" s="1369" t="s">
        <v>273</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413</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414</v>
      </c>
      <c r="AU43" s="506"/>
      <c r="AV43" s="506" t="str">
        <f>IF(T43="","",T43)</f>
        <v>Территория действия тарифа</v>
      </c>
      <c r="AW43" s="506"/>
      <c r="AX43" s="506"/>
      <c r="AY43" s="1161">
        <v>23</v>
      </c>
    </row>
    <row customHeight="1" ht="24">
      <c r="A44" s="1369" t="s">
        <v>272</v>
      </c>
      <c r="B44" s="1369" t="s">
        <v>273</v>
      </c>
      <c r="C44" s="1369" t="s">
        <v>274</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567</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568</v>
      </c>
      <c r="AU44" s="506"/>
      <c r="AV44" s="506" t="str">
        <f>IF(T44="","",T44)</f>
        <v>Наименование централизованной системы горячего водоснабжения</v>
      </c>
      <c r="AW44" s="506"/>
      <c r="AX44" s="506"/>
      <c r="AY44" s="1161">
        <v>23</v>
      </c>
    </row>
    <row customHeight="1" ht="24">
      <c r="A45" s="1369" t="s">
        <v>272</v>
      </c>
      <c r="B45" s="1369" t="s">
        <v>273</v>
      </c>
      <c r="C45" s="1369" t="s">
        <v>274</v>
      </c>
      <c r="D45" s="1369" t="s">
        <v>580</v>
      </c>
      <c r="E45" s="2265"/>
      <c r="F45" s="2265"/>
      <c r="G45" s="2265"/>
      <c r="H45" s="2265"/>
      <c r="I45" s="2262" t="str">
        <f>S44&amp;".1"</f>
        <v>...1</v>
      </c>
      <c r="J45" s="1369"/>
      <c r="K45" s="1369"/>
      <c r="L45" s="1370"/>
      <c r="P45" s="2263">
        <v>1</v>
      </c>
      <c r="Q45" s="1487"/>
      <c r="R45" s="362"/>
      <c r="S45" s="1499" t="str">
        <f>$I45</f>
        <v>...1</v>
      </c>
      <c r="T45" s="291" t="s">
        <v>496</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497</v>
      </c>
      <c r="AU45" s="506"/>
      <c r="AV45" s="506" t="str">
        <f>IF(T45="","",T45)</f>
        <v>Наименование признака дифференциации</v>
      </c>
      <c r="AW45" s="506"/>
      <c r="AX45" s="506"/>
      <c r="AY45" s="1161">
        <v>23</v>
      </c>
    </row>
    <row customHeight="1" ht="24">
      <c r="A46" s="1369" t="s">
        <v>272</v>
      </c>
      <c r="B46" s="1369" t="s">
        <v>273</v>
      </c>
      <c r="C46" s="1369" t="s">
        <v>274</v>
      </c>
      <c r="D46" s="1369" t="s">
        <v>580</v>
      </c>
      <c r="E46" s="2265"/>
      <c r="F46" s="2265"/>
      <c r="G46" s="2265"/>
      <c r="H46" s="2265"/>
      <c r="I46" s="2292"/>
      <c r="J46" s="2262" t="str">
        <f>I45&amp;".1"</f>
        <v>...1.1</v>
      </c>
      <c r="K46" s="1369"/>
      <c r="L46" s="1370" t="s">
        <v>422</v>
      </c>
      <c r="P46" s="2263"/>
      <c r="Q46" s="2263">
        <v>1</v>
      </c>
      <c r="R46" s="363"/>
      <c r="S46" s="1499" t="str">
        <f>$J46</f>
        <v>...1.1</v>
      </c>
      <c r="T46" s="292" t="s">
        <v>423</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498</v>
      </c>
      <c r="AU46" s="506"/>
      <c r="AV46" s="506" t="str">
        <f>IF(T46="","",T46)</f>
        <v>Группа потребителей</v>
      </c>
      <c r="AW46" s="506"/>
      <c r="AX46" s="506"/>
      <c r="AY46" s="1161">
        <v>23</v>
      </c>
    </row>
    <row customHeight="1" ht="24">
      <c r="A47" s="1369" t="s">
        <v>272</v>
      </c>
      <c r="B47" s="1369" t="s">
        <v>273</v>
      </c>
      <c r="C47" s="1369" t="s">
        <v>274</v>
      </c>
      <c r="D47" s="1369" t="s">
        <v>580</v>
      </c>
      <c r="E47" s="2265"/>
      <c r="F47" s="2265"/>
      <c r="G47" s="2265"/>
      <c r="H47" s="2265"/>
      <c r="I47" s="2292"/>
      <c r="J47" s="2292"/>
      <c r="K47" s="2262" t="str">
        <f>J46&amp;".1"</f>
        <v>...1.1.1</v>
      </c>
      <c r="L47" s="1370"/>
      <c r="P47" s="2263"/>
      <c r="Q47" s="2263"/>
      <c r="R47" s="363">
        <v>1</v>
      </c>
      <c r="S47" s="1499" t="str">
        <f>$K47</f>
        <v>...1.1.1</v>
      </c>
      <c r="T47" s="1443"/>
      <c r="U47" s="306"/>
      <c r="V47" s="1366"/>
      <c r="W47" s="1366"/>
      <c r="X47" s="1366"/>
      <c r="Y47" s="1366"/>
      <c r="Z47" s="1366"/>
      <c r="AA47" s="1366"/>
      <c r="AB47" s="1367"/>
      <c r="AC47" s="2273"/>
      <c r="AD47" s="2274" t="s">
        <v>62</v>
      </c>
      <c r="AE47" s="2273"/>
      <c r="AF47" s="2274" t="s">
        <v>62</v>
      </c>
      <c r="AG47" s="757"/>
      <c r="AH47" s="757"/>
      <c r="AI47" s="757"/>
      <c r="AJ47" s="757"/>
      <c r="AK47" s="757"/>
      <c r="AL47" s="757"/>
      <c r="AM47" s="1263"/>
      <c r="AN47" s="2271"/>
      <c r="AO47" s="2113" t="s">
        <v>62</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272</v>
      </c>
      <c r="B48" s="1369" t="s">
        <v>273</v>
      </c>
      <c r="C48" s="1369" t="s">
        <v>274</v>
      </c>
      <c r="D48" s="1369" t="s">
        <v>580</v>
      </c>
      <c r="E48" s="2265"/>
      <c r="F48" s="2265"/>
      <c r="G48" s="2265"/>
      <c r="H48" s="2265"/>
      <c r="I48" s="2292"/>
      <c r="J48" s="2292"/>
      <c r="K48" s="2262"/>
      <c r="L48" s="1370"/>
      <c r="P48" s="2263"/>
      <c r="Q48" s="2263"/>
      <c r="R48" s="363"/>
      <c r="S48" s="1496"/>
      <c r="T48" s="306"/>
      <c r="U48" s="306"/>
      <c r="V48" s="1366"/>
      <c r="W48" s="1366"/>
      <c r="X48" s="1366"/>
      <c r="Y48" s="1366"/>
      <c r="Z48" s="1366"/>
      <c r="AA48" s="1366"/>
      <c r="AB48" s="334" t="str">
        <f>AC47&amp;"-"&amp;AE47</f>
        <v>-</v>
      </c>
      <c r="AC48" s="2274"/>
      <c r="AD48" s="2274"/>
      <c r="AE48" s="2274"/>
      <c r="AF48" s="2274"/>
      <c r="AG48" s="331"/>
      <c r="AH48" s="331"/>
      <c r="AI48" s="331"/>
      <c r="AJ48" s="331"/>
      <c r="AK48" s="331"/>
      <c r="AL48" s="331"/>
      <c r="AM48" s="334" t="str">
        <f>AN47&amp;"-"&amp;AP47</f>
        <v>-</v>
      </c>
      <c r="AN48" s="2272"/>
      <c r="AO48" s="2113"/>
      <c r="AP48" s="2294"/>
      <c r="AQ48" s="2113"/>
      <c r="AR48" s="1445"/>
      <c r="AS48" s="2355"/>
      <c r="AU48" s="506"/>
      <c r="AV48" s="506" t="str">
        <f>IF(T48="","",T48)</f>
        <v/>
      </c>
      <c r="AW48" s="506"/>
      <c r="AX48" s="506"/>
      <c r="AY48" s="1161">
        <v>0</v>
      </c>
    </row>
    <row customHeight="1" ht="21">
      <c r="A49" s="1369" t="s">
        <v>272</v>
      </c>
      <c r="B49" s="1369" t="s">
        <v>273</v>
      </c>
      <c r="C49" s="1369" t="s">
        <v>274</v>
      </c>
      <c r="D49" s="1369" t="s">
        <v>580</v>
      </c>
      <c r="E49" s="2265"/>
      <c r="F49" s="2265"/>
      <c r="G49" s="2265"/>
      <c r="H49" s="2265"/>
      <c r="I49" s="2292"/>
      <c r="J49" s="2262"/>
      <c r="K49" s="1369"/>
      <c r="L49" s="1370"/>
      <c r="P49" s="2263"/>
      <c r="Q49" s="2263"/>
      <c r="R49" s="362"/>
      <c r="S49" s="1284"/>
      <c r="T49" s="293" t="s">
        <v>499</v>
      </c>
      <c r="U49" s="373"/>
      <c r="V49" s="373"/>
      <c r="W49" s="606"/>
      <c r="X49" s="606"/>
      <c r="Y49" s="606"/>
      <c r="Z49" s="606"/>
      <c r="AA49" s="606"/>
      <c r="AB49" s="373"/>
      <c r="AC49" s="373"/>
      <c r="AD49" s="373"/>
      <c r="AE49" s="373"/>
      <c r="AF49" s="373"/>
      <c r="AG49" s="373"/>
      <c r="AH49" s="606"/>
      <c r="AI49" s="606"/>
      <c r="AJ49" s="606"/>
      <c r="AK49" s="606"/>
      <c r="AL49" s="606"/>
      <c r="AM49" s="373"/>
      <c r="AN49" s="373"/>
      <c r="AO49" s="373"/>
      <c r="AP49" s="373"/>
      <c r="AQ49" s="373"/>
      <c r="AR49" s="373"/>
      <c r="AS49" s="1264" t="s">
        <v>500</v>
      </c>
      <c r="AU49" s="506"/>
      <c r="AV49" s="506" t="str">
        <f>IF(T49="","",T49)</f>
        <v>Добавить значение признака дифференциации</v>
      </c>
      <c r="AW49" s="506"/>
      <c r="AX49" s="506"/>
      <c r="AY49" s="1161">
        <v>20</v>
      </c>
    </row>
    <row customHeight="1" ht="22.049999999999997">
      <c r="A50" s="1369" t="s">
        <v>272</v>
      </c>
      <c r="B50" s="1369" t="s">
        <v>273</v>
      </c>
      <c r="C50" s="1369" t="s">
        <v>274</v>
      </c>
      <c r="D50" s="1369" t="s">
        <v>580</v>
      </c>
      <c r="E50" s="2265"/>
      <c r="F50" s="2265"/>
      <c r="G50" s="2265"/>
      <c r="H50" s="2265"/>
      <c r="I50" s="2262"/>
      <c r="J50" s="1369"/>
      <c r="K50" s="1369"/>
      <c r="L50" s="1370"/>
      <c r="P50" s="2263"/>
      <c r="Q50" s="1487"/>
      <c r="R50" s="362"/>
      <c r="S50" s="1284"/>
      <c r="T50" s="371" t="s">
        <v>428</v>
      </c>
      <c r="U50" s="373"/>
      <c r="V50" s="373"/>
      <c r="W50" s="606"/>
      <c r="X50" s="606"/>
      <c r="Y50" s="606"/>
      <c r="Z50" s="606"/>
      <c r="AA50" s="606"/>
      <c r="AB50" s="373"/>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272</v>
      </c>
      <c r="B51" s="1369" t="s">
        <v>273</v>
      </c>
      <c r="C51" s="1369" t="s">
        <v>274</v>
      </c>
      <c r="D51" s="1369" t="s">
        <v>580</v>
      </c>
      <c r="E51" s="2265"/>
      <c r="F51" s="2265"/>
      <c r="G51" s="2265"/>
      <c r="H51" s="2264"/>
      <c r="I51" s="1369"/>
      <c r="J51" s="1369"/>
      <c r="K51" s="1369"/>
      <c r="L51" s="1370"/>
      <c r="M51" s="1371"/>
      <c r="N51" s="1371"/>
      <c r="O51" s="543"/>
      <c r="P51" s="366"/>
      <c r="Q51" s="381"/>
      <c r="R51" s="361"/>
      <c r="S51" s="1284"/>
      <c r="T51" s="378" t="s">
        <v>501</v>
      </c>
      <c r="U51" s="373"/>
      <c r="V51" s="373"/>
      <c r="W51" s="606"/>
      <c r="X51" s="606"/>
      <c r="Y51" s="606"/>
      <c r="Z51" s="606"/>
      <c r="AA51" s="606"/>
      <c r="AB51" s="373"/>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272</v>
      </c>
      <c r="B52" s="1349" t="s">
        <v>273</v>
      </c>
      <c r="C52" s="1320"/>
      <c r="D52" s="1320"/>
      <c r="E52" s="2265"/>
      <c r="F52" s="2264"/>
      <c r="G52" s="1320"/>
      <c r="H52" s="1320"/>
      <c r="I52" s="1320"/>
      <c r="J52" s="1320"/>
      <c r="K52" s="1320"/>
      <c r="L52" s="1500"/>
      <c r="M52" s="1327"/>
      <c r="N52" s="1327"/>
      <c r="P52" s="1322"/>
      <c r="Q52" s="1323"/>
      <c r="R52" s="1322"/>
      <c r="S52" s="1328"/>
      <c r="T52" s="1331" t="s">
        <v>251</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272</v>
      </c>
      <c r="B53" s="1349"/>
      <c r="C53" s="1349"/>
      <c r="D53" s="1349"/>
      <c r="E53" s="2264"/>
      <c r="F53" s="1349"/>
      <c r="G53" s="1349"/>
      <c r="H53" s="1349"/>
      <c r="I53" s="1349"/>
      <c r="J53" s="1349"/>
      <c r="K53" s="1349"/>
      <c r="L53" s="1352"/>
      <c r="M53" s="1327"/>
      <c r="N53" s="1327"/>
      <c r="O53" s="524"/>
      <c r="P53" s="386"/>
      <c r="Q53" s="1350"/>
      <c r="R53" s="386"/>
      <c r="S53" s="1328"/>
      <c r="T53" s="1331" t="s">
        <v>252</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264</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83</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161">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8A5EBD-0592-5FA3-3C41-917CFC4B329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125</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413</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414</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567</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568</v>
      </c>
      <c r="BE4" s="506"/>
      <c r="BF4" s="506" t="str">
        <f>IF(T4="","",T4)</f>
        <v>Наименование централизованной системы горячего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418</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419</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62</v>
      </c>
      <c r="AB8" s="1740"/>
      <c r="AC8" s="1475" t="s">
        <v>62</v>
      </c>
      <c r="AD8" s="2191" t="s">
        <v>62</v>
      </c>
      <c r="AE8" s="2332"/>
      <c r="AF8" s="2211">
        <v>1</v>
      </c>
      <c r="AG8" s="2369"/>
      <c r="AH8" s="2113" t="s">
        <v>62</v>
      </c>
      <c r="AI8" s="2332"/>
      <c r="AJ8" s="2211">
        <v>1</v>
      </c>
      <c r="AK8" s="2333" t="s">
        <v>28</v>
      </c>
      <c r="AL8" s="2113" t="s">
        <v>62</v>
      </c>
      <c r="AM8" s="2198"/>
      <c r="AN8" s="2211">
        <v>1</v>
      </c>
      <c r="AO8" s="2363"/>
      <c r="AP8" s="2364" t="s">
        <v>62</v>
      </c>
      <c r="AQ8" s="317"/>
      <c r="AR8" s="1492">
        <v>1</v>
      </c>
      <c r="AS8" s="1498" t="s">
        <v>28</v>
      </c>
      <c r="AT8" s="757"/>
      <c r="AU8" s="1263"/>
      <c r="AV8" s="757"/>
      <c r="AW8" s="1263"/>
      <c r="AX8" s="1740"/>
      <c r="AY8" s="1475" t="s">
        <v>62</v>
      </c>
      <c r="AZ8" s="1740"/>
      <c r="BA8" s="1475" t="s">
        <v>62</v>
      </c>
      <c r="BB8" s="1354"/>
      <c r="BC8" s="2259" t="s">
        <v>514</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515</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516</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517</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518</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481</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251</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252</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62</v>
      </c>
      <c r="AZ20" s="1742"/>
      <c r="BA20" s="1491" t="s">
        <v>62</v>
      </c>
      <c r="BI20" s="1161">
        <v>0</v>
      </c>
    </row>
    <row customHeight="1" ht="14.25" hidden="1">
      <c r="BD21" s="502"/>
      <c r="BE21" s="502"/>
      <c r="BF21" s="502"/>
      <c r="BG21" s="502"/>
      <c r="BH21" s="502"/>
      <c r="BI21" s="1161">
        <v>0</v>
      </c>
    </row>
    <row customHeight="1" ht="14.25" hidden="1">
      <c r="O22" s="1373" t="s">
        <v>431</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432</v>
      </c>
      <c r="P24" s="1514"/>
      <c r="Q24" s="1516"/>
      <c r="R24" s="1516"/>
      <c r="AA24" s="1513" t="s">
        <v>434</v>
      </c>
      <c r="AC24" s="1513" t="s">
        <v>435</v>
      </c>
      <c r="AD24" s="1513" t="s">
        <v>482</v>
      </c>
      <c r="AH24" s="1513" t="s">
        <v>482</v>
      </c>
      <c r="AK24" s="1513" t="s">
        <v>519</v>
      </c>
      <c r="AL24" s="1513" t="s">
        <v>482</v>
      </c>
      <c r="AP24" s="1513" t="s">
        <v>482</v>
      </c>
      <c r="AY24" s="1513" t="s">
        <v>434</v>
      </c>
      <c r="BA24" s="1513" t="s">
        <v>435</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АО «ДГК» СП «Нерюнгринская ГРЭС»</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Государственный комитет по ценовой политике Республики Саха (Якутия)</v>
      </c>
      <c r="W31" s="2257"/>
      <c r="X31" s="2257"/>
      <c r="Y31" s="2257"/>
      <c r="Z31" s="2257"/>
      <c r="AA31" s="2257"/>
      <c r="AB31" s="2257"/>
      <c r="AC31" s="332"/>
      <c r="AD31" s="2257" t="str">
        <f>IF(TITLE_NAME_OR_PR_CHANGE="",IF(TITLE_NAME_OR_PR="","",TITLE_NAME_OR_PR),TITLE_NAME_OR_PR_CHANGE)</f>
        <v>Государственный комитет по ценовой политике Республики Саха (Якутия)</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c r="A32" s="1374"/>
      <c r="B32" s="1374"/>
      <c r="C32" s="1374"/>
      <c r="D32" s="1374"/>
      <c r="E32" s="1374"/>
      <c r="F32" s="1374"/>
      <c r="G32" s="1374"/>
      <c r="H32" s="1374"/>
      <c r="I32" s="1374"/>
      <c r="J32" s="1374"/>
      <c r="K32" s="1374"/>
      <c r="L32" s="1375"/>
      <c r="M32" s="1374"/>
      <c r="N32" s="1374"/>
      <c r="O32" s="1374"/>
      <c r="P32" s="1374"/>
      <c r="Q32" s="1374"/>
      <c r="S32" s="2256" t="s">
        <v>437</v>
      </c>
      <c r="T32" s="2256"/>
      <c r="U32" s="1378"/>
      <c r="V32" s="2270" t="str">
        <f>IF(TITLE_DATE_PR_CHANGE="",IF(TITLE_DATE_PR="","",TITLE_DATE_PR),TITLE_DATE_PR_CHANGE)</f>
        <v>46003.502546296295</v>
      </c>
      <c r="W32" s="2270"/>
      <c r="X32" s="2270"/>
      <c r="Y32" s="2270"/>
      <c r="Z32" s="2270"/>
      <c r="AA32" s="2270"/>
      <c r="AB32" s="2270"/>
      <c r="AC32" s="332"/>
      <c r="AD32" s="2270" t="str">
        <f>IF(TITLE_DATE_PR_CHANGE="",IF(TITLE_DATE_PR="","",TITLE_DATE_PR),TITLE_DATE_PR_CHANGE)</f>
        <v>46003.502546296295</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c r="A33" s="1374"/>
      <c r="B33" s="1374"/>
      <c r="C33" s="1374"/>
      <c r="D33" s="1374"/>
      <c r="E33" s="1374"/>
      <c r="F33" s="1374"/>
      <c r="G33" s="1374"/>
      <c r="H33" s="1374"/>
      <c r="I33" s="1374"/>
      <c r="J33" s="1374"/>
      <c r="K33" s="1374"/>
      <c r="L33" s="1375"/>
      <c r="M33" s="1374"/>
      <c r="N33" s="1374"/>
      <c r="O33" s="1374"/>
      <c r="P33" s="1374"/>
      <c r="Q33" s="1374"/>
      <c r="S33" s="2256" t="s">
        <v>438</v>
      </c>
      <c r="T33" s="2256"/>
      <c r="U33" s="1378"/>
      <c r="V33" s="2257" t="str">
        <f>IF(TITLE_NUMBER_PR_CHANGE="",IF(TITLE_NUMBER_PR="","",TITLE_NUMBER_PR),TITLE_NUMBER_PR_CHANGE)</f>
        <v>№ 222</v>
      </c>
      <c r="W33" s="2257"/>
      <c r="X33" s="2257"/>
      <c r="Y33" s="2257"/>
      <c r="Z33" s="2257"/>
      <c r="AA33" s="2257"/>
      <c r="AB33" s="2257"/>
      <c r="AC33" s="332"/>
      <c r="AD33" s="2257" t="str">
        <f>IF(TITLE_NUMBER_PR_CHANGE="",IF(TITLE_NUMBER_PR="","",TITLE_NUMBER_PR),TITLE_NUMBER_PR_CHANGE)</f>
        <v>№ 222</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c r="A34" s="1374"/>
      <c r="B34" s="1374"/>
      <c r="C34" s="1374"/>
      <c r="D34" s="1374"/>
      <c r="E34" s="1374"/>
      <c r="F34" s="1374"/>
      <c r="G34" s="1374"/>
      <c r="H34" s="1374"/>
      <c r="I34" s="1374"/>
      <c r="J34" s="1374"/>
      <c r="K34" s="1374"/>
      <c r="L34" s="1375"/>
      <c r="M34" s="1374"/>
      <c r="N34" s="1374"/>
      <c r="O34" s="1374"/>
      <c r="P34" s="1374"/>
      <c r="Q34" s="1374"/>
      <c r="S34" s="2256" t="s">
        <v>44</v>
      </c>
      <c r="T34" s="2256"/>
      <c r="U34" s="1378"/>
      <c r="V34" s="2257" t="str">
        <f>IF(TITLE_IST_PUB_CHANGE="",IF(TITLE_IST_PUB="","",TITLE_IST_PUB),TITLE_IST_PUB_CHANGE)</f>
        <v>Официальный интернет-портал правовой информации http://pravo.gov.ru/ </v>
      </c>
      <c r="W34" s="2257"/>
      <c r="X34" s="2257"/>
      <c r="Y34" s="2257"/>
      <c r="Z34" s="2257"/>
      <c r="AA34" s="2257"/>
      <c r="AB34" s="2257"/>
      <c r="AC34" s="332"/>
      <c r="AD34" s="2257" t="str">
        <f>IF(TITLE_IST_PUB_CHANGE="",IF(TITLE_IST_PUB="","",TITLE_IST_PUB),TITLE_IST_PUB_CHANGE)</f>
        <v>Официальный интернет-портал правовой информации http://pravo.gov.ru/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437</v>
      </c>
      <c r="T36" s="2256"/>
      <c r="U36" s="1378"/>
      <c r="V36" s="2270" t="str">
        <f>IF(TITLE_DATE_PR_CHANGE="",IF(TITLE_DATE_PR="","",TITLE_DATE_PR),TITLE_DATE_PR_CHANGE)</f>
        <v>46003.502546296295</v>
      </c>
      <c r="W36" s="2270"/>
      <c r="X36" s="2270"/>
      <c r="Y36" s="2270"/>
      <c r="Z36" s="2270"/>
      <c r="AA36" s="2270"/>
      <c r="AB36" s="2270"/>
      <c r="AC36" s="332"/>
      <c r="AD36" s="2270" t="str">
        <f>IF(TITLE_DATE_PR_CHANGE="",IF(TITLE_DATE_PR="","",TITLE_DATE_PR),TITLE_DATE_PR_CHANGE)</f>
        <v>46003.502546296295</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438</v>
      </c>
      <c r="T37" s="2256"/>
      <c r="U37" s="1378"/>
      <c r="V37" s="2257" t="str">
        <f>IF(TITLE_NUMBER_PR_CHANGE="",IF(TITLE_NUMBER_PR="","",TITLE_NUMBER_PR),TITLE_NUMBER_PR_CHANGE)</f>
        <v>№ 222</v>
      </c>
      <c r="W37" s="2257"/>
      <c r="X37" s="2257"/>
      <c r="Y37" s="2257"/>
      <c r="Z37" s="2257"/>
      <c r="AA37" s="2257"/>
      <c r="AB37" s="2257"/>
      <c r="AC37" s="332"/>
      <c r="AD37" s="2257" t="str">
        <f>IF(TITLE_NUMBER_PR_CHANGE="",IF(TITLE_NUMBER_PR="","",TITLE_NUMBER_PR),TITLE_NUMBER_PR_CHANGE)</f>
        <v>№ 222</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441</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441</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316</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317</v>
      </c>
      <c r="BI40" s="1161">
        <v>14</v>
      </c>
    </row>
    <row customHeight="1" ht="14.699999999999998">
      <c r="Q41" s="297"/>
      <c r="R41" s="382"/>
      <c r="S41" s="2279" t="s">
        <v>89</v>
      </c>
      <c r="T41" s="2215" t="s">
        <v>520</v>
      </c>
      <c r="U41" s="307"/>
      <c r="V41" s="2280" t="s">
        <v>443</v>
      </c>
      <c r="W41" s="2281"/>
      <c r="X41" s="2281"/>
      <c r="Y41" s="2281"/>
      <c r="Z41" s="2281"/>
      <c r="AA41" s="2281"/>
      <c r="AB41" s="2282"/>
      <c r="AC41" s="2283" t="s">
        <v>444</v>
      </c>
      <c r="AD41" s="2334" t="s">
        <v>521</v>
      </c>
      <c r="AE41" s="2297"/>
      <c r="AF41" s="2297"/>
      <c r="AG41" s="2335"/>
      <c r="AH41" s="2334" t="s">
        <v>522</v>
      </c>
      <c r="AI41" s="2297"/>
      <c r="AJ41" s="2297"/>
      <c r="AK41" s="2335"/>
      <c r="AL41" s="2334" t="s">
        <v>523</v>
      </c>
      <c r="AM41" s="2297"/>
      <c r="AN41" s="2297"/>
      <c r="AO41" s="2335"/>
      <c r="AP41" s="2334" t="s">
        <v>524</v>
      </c>
      <c r="AQ41" s="2297"/>
      <c r="AR41" s="2297"/>
      <c r="AS41" s="2335"/>
      <c r="AT41" s="2280" t="s">
        <v>443</v>
      </c>
      <c r="AU41" s="2281"/>
      <c r="AV41" s="2281"/>
      <c r="AW41" s="2281"/>
      <c r="AX41" s="2281"/>
      <c r="AY41" s="2281"/>
      <c r="AZ41" s="2282"/>
      <c r="BA41" s="2283" t="s">
        <v>444</v>
      </c>
      <c r="BB41" s="2286" t="s">
        <v>446</v>
      </c>
      <c r="BC41" s="2133"/>
      <c r="BI41" s="1161">
        <v>14</v>
      </c>
    </row>
    <row customHeight="1" ht="35.699999999999996">
      <c r="Q42" s="297"/>
      <c r="R42" s="382"/>
      <c r="S42" s="2279"/>
      <c r="T42" s="2215"/>
      <c r="U42" s="1037"/>
      <c r="V42" s="2198" t="s">
        <v>525</v>
      </c>
      <c r="W42" s="2199"/>
      <c r="X42" s="2198" t="s">
        <v>526</v>
      </c>
      <c r="Y42" s="2199"/>
      <c r="Z42" s="2300" t="s">
        <v>527</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525</v>
      </c>
      <c r="AU42" s="2199"/>
      <c r="AV42" s="2198" t="s">
        <v>526</v>
      </c>
      <c r="AW42" s="2199"/>
      <c r="AX42" s="2300" t="s">
        <v>527</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137</v>
      </c>
      <c r="C44" s="1376" t="s">
        <v>138</v>
      </c>
      <c r="D44" s="1376" t="s">
        <v>139</v>
      </c>
      <c r="E44" s="1370" t="s">
        <v>451</v>
      </c>
      <c r="F44" s="1370" t="s">
        <v>452</v>
      </c>
      <c r="G44" s="1370" t="s">
        <v>453</v>
      </c>
      <c r="H44" s="1370" t="s">
        <v>454</v>
      </c>
      <c r="I44" s="1370" t="s">
        <v>455</v>
      </c>
      <c r="J44" s="1370" t="s">
        <v>456</v>
      </c>
      <c r="K44" s="1370" t="s">
        <v>457</v>
      </c>
      <c r="L44" s="1370" t="s">
        <v>432</v>
      </c>
      <c r="Q44" s="297"/>
      <c r="R44" s="382"/>
      <c r="S44" s="2279"/>
      <c r="T44" s="2215"/>
      <c r="U44" s="308"/>
      <c r="V44" s="1485" t="s">
        <v>491</v>
      </c>
      <c r="W44" s="1485" t="s">
        <v>492</v>
      </c>
      <c r="X44" s="1485" t="s">
        <v>491</v>
      </c>
      <c r="Y44" s="1485" t="s">
        <v>492</v>
      </c>
      <c r="Z44" s="1495" t="s">
        <v>460</v>
      </c>
      <c r="AA44" s="2276" t="s">
        <v>461</v>
      </c>
      <c r="AB44" s="2277"/>
      <c r="AC44" s="2285"/>
      <c r="AD44" s="2339"/>
      <c r="AE44" s="2340"/>
      <c r="AF44" s="2340"/>
      <c r="AG44" s="2341"/>
      <c r="AH44" s="2339"/>
      <c r="AI44" s="2340"/>
      <c r="AJ44" s="2340"/>
      <c r="AK44" s="2341"/>
      <c r="AL44" s="2339"/>
      <c r="AM44" s="2340"/>
      <c r="AN44" s="2340"/>
      <c r="AO44" s="2341"/>
      <c r="AP44" s="2339"/>
      <c r="AQ44" s="2340"/>
      <c r="AR44" s="2340"/>
      <c r="AS44" s="2341"/>
      <c r="AT44" s="1485" t="s">
        <v>491</v>
      </c>
      <c r="AU44" s="1485" t="s">
        <v>492</v>
      </c>
      <c r="AV44" s="1485" t="s">
        <v>491</v>
      </c>
      <c r="AW44" s="1485" t="s">
        <v>492</v>
      </c>
      <c r="AX44" s="1495" t="s">
        <v>460</v>
      </c>
      <c r="AY44" s="2276" t="s">
        <v>461</v>
      </c>
      <c r="AZ44" s="2277"/>
      <c r="BA44" s="2285"/>
      <c r="BB44" s="2288"/>
      <c r="BC44" s="2133"/>
      <c r="BI44" s="1161">
        <v>14</v>
      </c>
    </row>
    <row s="1647" customFormat="1" customHeight="1" ht="0">
      <c r="A45" s="1376"/>
      <c r="B45" s="1376"/>
      <c r="C45" s="1376"/>
      <c r="D45" s="1376"/>
      <c r="E45" s="1376"/>
      <c r="F45" s="1376"/>
      <c r="G45" s="1376"/>
      <c r="H45" s="1376"/>
      <c r="I45" s="1376"/>
      <c r="J45" s="1376"/>
      <c r="K45" s="1376"/>
      <c r="L45" s="1370"/>
      <c r="M45" s="1368"/>
      <c r="N45" s="1368"/>
      <c r="O45" s="1368"/>
      <c r="P45" s="516"/>
      <c r="Q45" s="1260"/>
      <c r="R45" s="1260">
        <v>1</v>
      </c>
      <c r="S45" s="1283" t="s">
        <v>111</v>
      </c>
      <c r="T45" s="1261" t="s">
        <v>112</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277</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125</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277</v>
      </c>
      <c r="B47" s="1369" t="s">
        <v>278</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413</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414</v>
      </c>
      <c r="BE47" s="506"/>
      <c r="BF47" s="506" t="str">
        <f>IF(T47="","",T47)</f>
        <v>Территория действия тарифа</v>
      </c>
      <c r="BG47" s="506"/>
      <c r="BH47" s="506"/>
      <c r="BI47" s="1161">
        <v>21</v>
      </c>
    </row>
    <row customHeight="1" ht="35.699999999999996">
      <c r="A48" s="1369" t="s">
        <v>277</v>
      </c>
      <c r="B48" s="1369" t="s">
        <v>278</v>
      </c>
      <c r="C48" s="1369" t="s">
        <v>279</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567</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568</v>
      </c>
      <c r="BE48" s="506"/>
      <c r="BF48" s="506" t="str">
        <f>IF(T48="","",T48)</f>
        <v>Наименование централизованной системы горячего водоснабжения</v>
      </c>
      <c r="BG48" s="506"/>
      <c r="BH48" s="506"/>
      <c r="BI48" s="1161">
        <v>34</v>
      </c>
    </row>
    <row s="1648" customFormat="1" customHeight="1" ht="0">
      <c r="A49" s="1349" t="s">
        <v>277</v>
      </c>
      <c r="B49" s="1349" t="s">
        <v>278</v>
      </c>
      <c r="C49" s="1349" t="s">
        <v>279</v>
      </c>
      <c r="D49" s="1349" t="s">
        <v>581</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418</v>
      </c>
      <c r="BE49" s="506"/>
      <c r="BF49" s="506" t="str">
        <f>IF(T49="","",T49)</f>
        <v/>
      </c>
      <c r="BG49" s="506"/>
      <c r="BH49" s="506"/>
      <c r="BI49" s="517">
        <v>0</v>
      </c>
    </row>
    <row s="1648" customFormat="1" customHeight="1" ht="0">
      <c r="A50" s="1349" t="s">
        <v>277</v>
      </c>
      <c r="B50" s="1349" t="s">
        <v>278</v>
      </c>
      <c r="C50" s="1349" t="s">
        <v>279</v>
      </c>
      <c r="D50" s="1349" t="s">
        <v>581</v>
      </c>
      <c r="E50" s="2265"/>
      <c r="F50" s="2265"/>
      <c r="G50" s="2265"/>
      <c r="H50" s="2265"/>
      <c r="I50" s="2262" t="str">
        <f>S49&amp;".1"</f>
        <v>.1</v>
      </c>
      <c r="J50" s="1349"/>
      <c r="K50" s="1349"/>
      <c r="L50" s="1352" t="s">
        <v>419</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277</v>
      </c>
      <c r="B51" s="1349" t="s">
        <v>278</v>
      </c>
      <c r="C51" s="1349" t="s">
        <v>279</v>
      </c>
      <c r="D51" s="1349" t="s">
        <v>581</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277</v>
      </c>
      <c r="B52" s="1369" t="s">
        <v>278</v>
      </c>
      <c r="C52" s="1369" t="s">
        <v>279</v>
      </c>
      <c r="D52" s="1369" t="s">
        <v>581</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62</v>
      </c>
      <c r="AB52" s="1740"/>
      <c r="AC52" s="1475" t="s">
        <v>62</v>
      </c>
      <c r="AD52" s="2191" t="s">
        <v>62</v>
      </c>
      <c r="AE52" s="2332"/>
      <c r="AF52" s="2211">
        <v>1</v>
      </c>
      <c r="AG52" s="2369"/>
      <c r="AH52" s="2113" t="s">
        <v>62</v>
      </c>
      <c r="AI52" s="2332"/>
      <c r="AJ52" s="2211">
        <v>1</v>
      </c>
      <c r="AK52" s="2333" t="s">
        <v>28</v>
      </c>
      <c r="AL52" s="2113" t="s">
        <v>62</v>
      </c>
      <c r="AM52" s="2198"/>
      <c r="AN52" s="2211">
        <v>1</v>
      </c>
      <c r="AO52" s="2363"/>
      <c r="AP52" s="2364" t="s">
        <v>62</v>
      </c>
      <c r="AQ52" s="317"/>
      <c r="AR52" s="1492">
        <v>1</v>
      </c>
      <c r="AS52" s="1498" t="s">
        <v>28</v>
      </c>
      <c r="AT52" s="757"/>
      <c r="AU52" s="1263"/>
      <c r="AV52" s="757"/>
      <c r="AW52" s="1263"/>
      <c r="AX52" s="1740"/>
      <c r="AY52" s="1475" t="s">
        <v>62</v>
      </c>
      <c r="AZ52" s="1740"/>
      <c r="BA52" s="1475" t="s">
        <v>62</v>
      </c>
      <c r="BB52" s="1354"/>
      <c r="BC52" s="2259" t="s">
        <v>514</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515</v>
      </c>
      <c r="AT53" s="1399"/>
      <c r="AU53" s="1502"/>
      <c r="AV53" s="1399"/>
      <c r="AW53" s="1502"/>
      <c r="AX53" s="1399"/>
      <c r="AY53" s="1399"/>
      <c r="AZ53" s="1399"/>
      <c r="BA53" s="1399"/>
      <c r="BB53" s="1403"/>
      <c r="BC53" s="2260"/>
      <c r="BE53" s="506"/>
      <c r="BF53" s="506"/>
      <c r="BG53" s="506"/>
      <c r="BH53" s="506"/>
      <c r="BI53" s="1161">
        <v>11</v>
      </c>
    </row>
    <row customHeight="1" ht="11.549999999999999">
      <c r="A54" s="1369" t="s">
        <v>277</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516</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277</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517</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277</v>
      </c>
      <c r="B56" s="1369" t="s">
        <v>278</v>
      </c>
      <c r="C56" s="1369" t="s">
        <v>279</v>
      </c>
      <c r="D56" s="1369" t="s">
        <v>581</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518</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277</v>
      </c>
      <c r="B57" s="1369" t="s">
        <v>278</v>
      </c>
      <c r="C57" s="1369" t="s">
        <v>279</v>
      </c>
      <c r="D57" s="1369" t="s">
        <v>581</v>
      </c>
      <c r="E57" s="2265"/>
      <c r="F57" s="2265"/>
      <c r="G57" s="2265"/>
      <c r="H57" s="2265"/>
      <c r="I57" s="2292"/>
      <c r="J57" s="2262"/>
      <c r="K57" s="1369"/>
      <c r="L57" s="1370"/>
      <c r="P57" s="2263"/>
      <c r="Q57" s="2263"/>
      <c r="R57" s="362"/>
      <c r="S57" s="1284"/>
      <c r="T57" s="293" t="s">
        <v>481</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277</v>
      </c>
      <c r="B58" s="1349" t="s">
        <v>278</v>
      </c>
      <c r="C58" s="1349" t="s">
        <v>279</v>
      </c>
      <c r="D58" s="1349" t="s">
        <v>581</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277</v>
      </c>
      <c r="B59" s="1349" t="s">
        <v>278</v>
      </c>
      <c r="C59" s="1349" t="s">
        <v>279</v>
      </c>
      <c r="D59" s="1349" t="s">
        <v>581</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277</v>
      </c>
      <c r="B60" s="1349" t="s">
        <v>278</v>
      </c>
      <c r="C60" s="1349" t="s">
        <v>279</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277</v>
      </c>
      <c r="B61" s="1349" t="s">
        <v>278</v>
      </c>
      <c r="C61" s="1320"/>
      <c r="D61" s="1320"/>
      <c r="E61" s="2265"/>
      <c r="F61" s="2264"/>
      <c r="G61" s="1320"/>
      <c r="H61" s="1320"/>
      <c r="I61" s="1320"/>
      <c r="J61" s="1320"/>
      <c r="K61" s="1320"/>
      <c r="L61" s="1500"/>
      <c r="M61" s="1327"/>
      <c r="N61" s="1327"/>
      <c r="P61" s="1322"/>
      <c r="Q61" s="1323"/>
      <c r="R61" s="1322"/>
      <c r="S61" s="1328"/>
      <c r="T61" s="1331" t="s">
        <v>251</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277</v>
      </c>
      <c r="B62" s="1349"/>
      <c r="C62" s="1349"/>
      <c r="D62" s="1349"/>
      <c r="E62" s="2264"/>
      <c r="F62" s="1349"/>
      <c r="G62" s="1349"/>
      <c r="H62" s="1349"/>
      <c r="I62" s="1349"/>
      <c r="J62" s="1349"/>
      <c r="K62" s="1349"/>
      <c r="L62" s="1352"/>
      <c r="M62" s="1327"/>
      <c r="N62" s="1327"/>
      <c r="O62" s="524"/>
      <c r="P62" s="386"/>
      <c r="Q62" s="1350"/>
      <c r="R62" s="386"/>
      <c r="S62" s="1328"/>
      <c r="T62" s="1331" t="s">
        <v>252</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264</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83</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49CAE-E582-681A-98B3-0CC5845C3CBB}"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9" style="1641" width="40.7109375" customWidth="1"/>
    <col min="10" max="10" style="1641" width="102.00390625" customWidth="1"/>
    <col min="11" max="11" style="1372" width="9.00390625" customWidth="1"/>
    <col min="12" max="12" style="1648" width="5.00390625" customWidth="1"/>
    <col min="13" max="13" style="1648" width="3.00390625" customWidth="1"/>
    <col min="14" max="17" style="1372" width="3.00390625" customWidth="1"/>
    <col min="18" max="18" style="1648" width="10.00390625" customWidth="1"/>
    <col min="19" max="19" style="1372" width="34.00390625" customWidth="1"/>
    <col min="20" max="20" style="1372" width="9.00390625" customWidth="1"/>
    <col min="21" max="21" style="742" width="8.00390625" customWidth="1"/>
    <col min="22" max="26" style="1372" width="8.00390625" customWidth="1"/>
    <col min="27" max="31" style="1638" width="8.00390625" customWidth="1"/>
    <col min="32" max="32" style="1641" width="9.140625" hidden="1"/>
  </cols>
  <sheetData>
    <row customHeight="1" ht="22.5" hidden="1">
      <c r="AF1" s="1637" t="s">
        <v>14</v>
      </c>
    </row>
    <row customHeight="1" ht="23.25" hidden="1">
      <c r="B2" s="2105"/>
      <c r="C2" s="1173" t="s">
        <v>582</v>
      </c>
      <c r="D2" s="1644"/>
      <c r="E2" s="552">
        <f>B2</f>
        <v>0</v>
      </c>
      <c r="F2" s="553"/>
      <c r="G2" s="1652" t="s">
        <v>583</v>
      </c>
      <c r="H2" s="1652" t="s">
        <v>583</v>
      </c>
      <c r="I2" s="1652" t="s">
        <v>583</v>
      </c>
      <c r="J2" s="295" t="s">
        <v>584</v>
      </c>
      <c r="K2" s="549"/>
      <c r="AF2" s="1637">
        <v>0</v>
      </c>
    </row>
    <row s="1648" customFormat="1" customHeight="1" ht="0.75" hidden="1">
      <c r="B3" s="2105"/>
      <c r="C3" s="1173"/>
      <c r="D3" s="554"/>
      <c r="E3" s="555"/>
      <c r="F3" s="556" t="s">
        <v>585</v>
      </c>
      <c r="G3" s="557"/>
      <c r="H3" s="557">
        <f>H4*H5+H7</f>
        <v>0</v>
      </c>
      <c r="I3" s="557">
        <f>I4*I5+I6</f>
        <v>0</v>
      </c>
      <c r="J3" s="558"/>
      <c r="AF3" s="1642">
        <v>0</v>
      </c>
    </row>
    <row customHeight="1" ht="23.25" hidden="1">
      <c r="B4" s="2105"/>
      <c r="C4" s="1173"/>
      <c r="D4" s="1644"/>
      <c r="E4" s="552" t="str">
        <f>B2&amp;".1"</f>
        <v>.1</v>
      </c>
      <c r="F4" s="559" t="s">
        <v>586</v>
      </c>
      <c r="G4" s="560"/>
      <c r="H4" s="547"/>
      <c r="I4" s="547"/>
      <c r="J4" s="295" t="s">
        <v>587</v>
      </c>
      <c r="K4" s="549"/>
      <c r="AF4" s="1637">
        <v>0</v>
      </c>
    </row>
    <row customHeight="1" ht="18.75" hidden="1">
      <c r="B5" s="2105"/>
      <c r="C5" s="1173"/>
      <c r="D5" s="1644"/>
      <c r="E5" s="552" t="str">
        <f>B2&amp;".2"</f>
        <v>.2</v>
      </c>
      <c r="F5" s="559" t="s">
        <v>588</v>
      </c>
      <c r="G5" s="1652" t="s">
        <v>589</v>
      </c>
      <c r="H5" s="547"/>
      <c r="I5" s="547"/>
      <c r="J5" s="295"/>
      <c r="K5" s="549"/>
      <c r="AF5" s="1637">
        <v>0</v>
      </c>
    </row>
    <row customHeight="1" ht="18.75" hidden="1">
      <c r="B6" s="2105"/>
      <c r="C6" s="1173"/>
      <c r="D6" s="1644"/>
      <c r="E6" s="552" t="str">
        <f>B2&amp;".3"</f>
        <v>.3</v>
      </c>
      <c r="F6" s="559" t="s">
        <v>590</v>
      </c>
      <c r="G6" s="1652" t="s">
        <v>589</v>
      </c>
      <c r="H6" s="547"/>
      <c r="I6" s="547"/>
      <c r="J6" s="295"/>
      <c r="K6" s="549"/>
      <c r="AF6" s="1637">
        <v>0</v>
      </c>
    </row>
    <row customHeight="1" ht="18.75" hidden="1">
      <c r="B7" s="2105"/>
      <c r="C7" s="1173"/>
      <c r="D7" s="1644"/>
      <c r="E7" s="552" t="str">
        <f>B2&amp;".4"</f>
        <v>.4</v>
      </c>
      <c r="F7" s="559" t="s">
        <v>591</v>
      </c>
      <c r="G7" s="1652" t="s">
        <v>583</v>
      </c>
      <c r="H7" s="561"/>
      <c r="I7" s="561"/>
      <c r="J7" s="295"/>
      <c r="K7" s="549"/>
      <c r="AF7" s="1637">
        <v>0</v>
      </c>
    </row>
    <row s="1372" customFormat="1" customHeight="1" ht="11.25" hidden="1">
      <c r="A8" s="993"/>
      <c r="C8" s="1642"/>
      <c r="D8" s="543"/>
      <c r="H8" s="1166">
        <v>4</v>
      </c>
      <c r="I8" s="1166">
        <v>4</v>
      </c>
      <c r="L8" s="1642"/>
      <c r="M8" s="1642"/>
      <c r="R8" s="1642"/>
      <c r="AF8" s="1166">
        <v>0</v>
      </c>
    </row>
    <row s="1372" customFormat="1" customHeight="1" ht="22.5" hidden="1">
      <c r="A9" s="993"/>
      <c r="C9" s="1642"/>
      <c r="D9" s="544"/>
      <c r="E9" s="1654"/>
      <c r="F9" s="546"/>
      <c r="G9" s="1652" t="s">
        <v>589</v>
      </c>
      <c r="H9" s="547"/>
      <c r="I9" s="547"/>
      <c r="J9" s="548" t="s">
        <v>592</v>
      </c>
      <c r="K9" s="549"/>
      <c r="L9" s="1642"/>
      <c r="M9" s="1642"/>
      <c r="R9" s="1642"/>
      <c r="U9" s="550"/>
      <c r="AA9" s="1638"/>
      <c r="AB9" s="1638"/>
      <c r="AC9" s="1638"/>
      <c r="AD9" s="1638"/>
      <c r="AE9" s="1638"/>
      <c r="AF9" s="1166">
        <v>0</v>
      </c>
    </row>
    <row customHeight="1" ht="11.25" hidden="1">
      <c r="AF10" s="1637">
        <v>0</v>
      </c>
    </row>
    <row customHeight="1" ht="18.75" hidden="1">
      <c r="D11" s="1644"/>
      <c r="E11" s="552"/>
      <c r="F11" s="546"/>
      <c r="G11" s="1652" t="s">
        <v>593</v>
      </c>
      <c r="H11" s="547"/>
      <c r="I11" s="547"/>
      <c r="J11" s="295" t="s">
        <v>594</v>
      </c>
      <c r="K11" s="549"/>
      <c r="AF11" s="1637">
        <v>0</v>
      </c>
    </row>
    <row customHeight="1" ht="11.25" hidden="1">
      <c r="AF12" s="1637">
        <v>0</v>
      </c>
    </row>
    <row customHeight="1" ht="22.5" hidden="1">
      <c r="D13" s="1644"/>
      <c r="E13" s="552"/>
      <c r="F13" s="546"/>
      <c r="G13" s="975" t="s">
        <v>595</v>
      </c>
      <c r="H13" s="551"/>
      <c r="I13" s="551"/>
      <c r="J13" s="751" t="s">
        <v>596</v>
      </c>
      <c r="K13" s="549"/>
      <c r="AF13" s="1637">
        <v>0</v>
      </c>
    </row>
    <row customHeight="1" ht="11.25" hidden="1">
      <c r="AF14" s="1637">
        <v>0</v>
      </c>
    </row>
    <row customHeight="1" ht="22.5" hidden="1">
      <c r="D15" s="1644"/>
      <c r="E15" s="552"/>
      <c r="F15" s="546"/>
      <c r="G15" s="1652" t="s">
        <v>597</v>
      </c>
      <c r="H15" s="551"/>
      <c r="I15" s="551"/>
      <c r="J15" s="295" t="s">
        <v>598</v>
      </c>
      <c r="K15" s="549"/>
      <c r="AF15" s="1637">
        <v>0</v>
      </c>
    </row>
    <row customHeight="1" ht="11.25" hidden="1">
      <c r="AF16" s="1637">
        <v>0</v>
      </c>
    </row>
    <row customHeight="1" ht="22.5" hidden="1">
      <c r="D17" s="1644"/>
      <c r="E17" s="552"/>
      <c r="F17" s="546"/>
      <c r="G17" s="1652" t="s">
        <v>599</v>
      </c>
      <c r="H17" s="551"/>
      <c r="I17" s="551"/>
      <c r="J17" s="295" t="s">
        <v>600</v>
      </c>
      <c r="K17" s="549"/>
      <c r="AF17" s="1637">
        <v>0</v>
      </c>
    </row>
    <row customHeight="1" ht="11.25" hidden="1">
      <c r="AF18" s="1637">
        <v>0</v>
      </c>
    </row>
    <row s="1638" customFormat="1" customHeight="1" ht="11.25" hidden="1">
      <c r="A19" s="993"/>
      <c r="B19" s="1166"/>
      <c r="C19" s="1642"/>
      <c r="D19" s="368"/>
      <c r="J19" s="1638">
        <v>4</v>
      </c>
      <c r="K19" s="1166"/>
      <c r="L19" s="1642"/>
      <c r="M19" s="1642"/>
      <c r="N19" s="1166"/>
      <c r="O19" s="1166"/>
      <c r="P19" s="1166"/>
      <c r="Q19" s="1166"/>
      <c r="R19" s="1642"/>
      <c r="S19" s="1166"/>
      <c r="T19" s="1166"/>
      <c r="U19" s="550"/>
      <c r="V19" s="1166"/>
      <c r="W19" s="1166"/>
      <c r="X19" s="1166"/>
      <c r="Y19" s="1166"/>
      <c r="Z19" s="1166"/>
      <c r="AF19" s="1638">
        <v>0</v>
      </c>
    </row>
    <row customHeight="1" ht="11.549999999999999">
      <c r="AF20" s="1637">
        <v>11</v>
      </c>
    </row>
    <row customHeight="1" ht="25.2">
      <c r="E21" s="225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4"/>
      <c r="G21" s="2254"/>
      <c r="H21" s="2254"/>
      <c r="I21" s="2254"/>
      <c r="J21" s="562"/>
      <c r="AF21" s="1637">
        <v>24</v>
      </c>
    </row>
    <row customHeight="1" ht="25.2">
      <c r="E22" s="2255" t="str">
        <f>IF(org=0,"Не определено",org)</f>
        <v>АО «ДГК» СП «Нерюнгринская ГРЭС»</v>
      </c>
      <c r="F22" s="2255"/>
      <c r="G22" s="2255"/>
      <c r="H22" s="2255"/>
      <c r="I22" s="2255"/>
      <c r="AF22" s="1637">
        <v>24</v>
      </c>
    </row>
    <row customHeight="1" ht="11.549999999999999">
      <c r="E23" s="1141"/>
      <c r="F23" s="1141"/>
      <c r="G23" s="1141"/>
      <c r="H23" s="1141"/>
      <c r="I23" s="1141"/>
      <c r="AF23" s="1637">
        <v>11</v>
      </c>
    </row>
    <row s="1648" customFormat="1" customHeight="1" ht="1.05">
      <c r="A24" s="1173"/>
      <c r="D24" s="1648"/>
      <c r="H24" s="895"/>
      <c r="I24" s="895" t="s">
        <v>119</v>
      </c>
      <c r="AF24" s="1642">
        <v>1</v>
      </c>
    </row>
    <row customHeight="1" ht="11.549999999999999">
      <c r="E25" s="717"/>
      <c r="F25" s="2373" t="s">
        <v>107</v>
      </c>
      <c r="G25" s="2374"/>
      <c r="H25" s="1658" t="str">
        <f>IF(H24="","",INDEX(DIFFERENTIATION_UNMERGE_VD,MATCH(H24,DIFFERENTIATION_ID_DIFF,0)))</f>
        <v/>
      </c>
      <c r="I25" s="1658">
        <f>IF(I24="","",INDEX(DIFFERENTIATION_UNMERGE_VD,MATCH(I24,DIFFERENTIATION_ID_DIFF,0)))</f>
        <v>0</v>
      </c>
      <c r="J25" s="2133"/>
      <c r="AF25" s="1637">
        <v>11</v>
      </c>
    </row>
    <row customHeight="1" ht="11.549999999999999">
      <c r="E26" s="717"/>
      <c r="F26" s="2373" t="s">
        <v>601</v>
      </c>
      <c r="G26" s="2374"/>
      <c r="H26" s="1658" t="str">
        <f>IF(H24="","",INDEX(DIFFERENTIATION_UNMERGE_AREA,MATCH(H24,DIFFERENTIATION_ID_DIFF,0)))</f>
        <v/>
      </c>
      <c r="I26" s="1658" t="str">
        <f>IF(I24="","",INDEX(DIFFERENTIATION_UNMERGE_AREA,MATCH(I24,DIFFERENTIATION_ID_DIFF,0)))</f>
        <v/>
      </c>
      <c r="J26" s="2133"/>
      <c r="AF26" s="1637">
        <v>11</v>
      </c>
    </row>
    <row customHeight="1" ht="11.549999999999999">
      <c r="E27" s="717"/>
      <c r="F27" s="2373" t="s">
        <v>602</v>
      </c>
      <c r="G27" s="2374"/>
      <c r="H27" s="1658" t="str">
        <f>IF(H24="","",INDEX(DIFFERENTIATION_UNMERGE_SYSTEM,MATCH(H24,DIFFERENTIATION_ID_DIFF,0)))</f>
        <v/>
      </c>
      <c r="I27" s="1658" t="str">
        <f>IF(I24="","",INDEX(DIFFERENTIATION_UNMERGE_SYSTEM,MATCH(I24,DIFFERENTIATION_ID_DIFF,0)))</f>
        <v>без дифференциации</v>
      </c>
      <c r="J27" s="2133"/>
      <c r="AF27" s="1637">
        <v>11</v>
      </c>
    </row>
    <row customHeight="1" ht="11.549999999999999">
      <c r="E28" s="2375" t="s">
        <v>316</v>
      </c>
      <c r="F28" s="2376"/>
      <c r="G28" s="2376"/>
      <c r="H28" s="1651"/>
      <c r="I28" s="1651"/>
      <c r="J28" s="2133"/>
      <c r="AF28" s="1637">
        <v>11</v>
      </c>
    </row>
    <row customHeight="1" ht="24">
      <c r="E29" s="1652" t="s">
        <v>89</v>
      </c>
      <c r="F29" s="1659" t="s">
        <v>318</v>
      </c>
      <c r="G29" s="1659" t="s">
        <v>603</v>
      </c>
      <c r="H29" s="1659" t="s">
        <v>319</v>
      </c>
      <c r="I29" s="1659" t="s">
        <v>319</v>
      </c>
      <c r="J29" s="2133"/>
      <c r="AF29" s="1637">
        <v>23</v>
      </c>
    </row>
    <row customHeight="1" ht="19.95">
      <c r="D30" s="1644"/>
      <c r="E30" s="552">
        <f>FHD_NUM_P_1</f>
        <v>1</v>
      </c>
      <c r="F30" s="1886" t="str">
        <f>FHD_P_1</f>
        <v>Выручка от регулируемых видов деятельности в сфере холодного водоснабжения</v>
      </c>
      <c r="G30" s="1884" t="s">
        <v>589</v>
      </c>
      <c r="H30" s="563"/>
      <c r="I30" s="563"/>
      <c r="J30" s="295" t="str">
        <f>FHD_NOTE_P_1</f>
        <v>Указывается выручка с распределением по видам деятельности.</v>
      </c>
      <c r="K30" s="549"/>
      <c r="AF30" s="1637">
        <v>19</v>
      </c>
    </row>
    <row customHeight="1" ht="11.549999999999999">
      <c r="D31" s="1644"/>
      <c r="E31" s="552">
        <f>FHD_NUM_P_2</f>
        <v>2</v>
      </c>
      <c r="F31" s="1886" t="str">
        <f>FHD_P_2</f>
        <v>Себестоимость производимых товаров (оказываемых услуг) по регулируемым видам деятельности в сфере холодного водоснабжения, включая:</v>
      </c>
      <c r="G31" s="1884" t="s">
        <v>589</v>
      </c>
      <c r="H31" s="564">
        <f>SUMIF($K33:$K71,$K31,H33:H71)</f>
        <v>0</v>
      </c>
      <c r="I31" s="564">
        <f>SUMIF($K33:$K71,$K31,I33:I71)</f>
        <v>0</v>
      </c>
      <c r="J31" s="295" t="str">
        <f>FHD_NOTE_P_2</f>
        <v>Указывается суммарная себестоимость производимых товаров.</v>
      </c>
      <c r="K31" s="1642" t="s">
        <v>604</v>
      </c>
      <c r="AF31" s="1637">
        <v>11</v>
      </c>
    </row>
    <row customHeight="1" ht="11.549999999999999">
      <c r="D32" s="1644"/>
      <c r="E32" s="552" t="str">
        <f>FHD_NUM_P_3</f>
        <v>2.1</v>
      </c>
      <c r="F32" s="1530" t="str">
        <f>FHD_P_3</f>
        <v>Расходы на оплату холодной воды, приобретаемой у других организаций для последующей подачи потребителям</v>
      </c>
      <c r="G32" s="1884" t="s">
        <v>589</v>
      </c>
      <c r="H32" s="563"/>
      <c r="I32" s="563"/>
      <c r="J32" s="295" t="str">
        <f>FHD_NOTE_P_3</f>
        <v/>
      </c>
      <c r="K32" s="1642" t="str">
        <f>IF((LEN(E32)-LEN(SUBSTITUTE(E32,".","")))/LEN(".")=1,"p","")</f>
        <v>p</v>
      </c>
      <c r="AF32" s="1637">
        <v>11</v>
      </c>
    </row>
    <row customHeight="1" ht="11.25" hidden="1">
      <c r="A33" s="2377" t="s">
        <v>605</v>
      </c>
      <c r="D33" s="1644"/>
      <c r="E33" s="552" t="str">
        <f>FHD_NUM_P_4</f>
        <v/>
      </c>
      <c r="F33" s="1530" t="str">
        <f>FHD_P_4</f>
        <v/>
      </c>
      <c r="G33" s="1884" t="s">
        <v>589</v>
      </c>
      <c r="H33" s="564">
        <f>SUMIF($F34:$F40,$F3,H34:H40)</f>
        <v>0</v>
      </c>
      <c r="I33" s="564">
        <f>SUMIF($F34:$F40,$F3,I34:I40)</f>
        <v>0</v>
      </c>
      <c r="J33" s="295" t="str">
        <f>FHD_NOTE_P_4</f>
        <v/>
      </c>
      <c r="K33" s="1642" t="str">
        <f>IF((LEN(E33)-LEN(SUBSTITUTE(E33,".","")))/LEN(".")=1,"p","")</f>
        <v/>
      </c>
      <c r="AF33" s="1637">
        <v>0</v>
      </c>
    </row>
    <row s="1647" customFormat="1" customHeight="1" ht="0.75" hidden="1">
      <c r="A34" s="2377"/>
      <c r="B34" s="2378" t="str">
        <f>E33&amp;".0"</f>
        <v>.0</v>
      </c>
      <c r="C34" s="1173"/>
      <c r="D34" s="566"/>
      <c r="E34" s="567"/>
      <c r="F34" s="568"/>
      <c r="G34" s="569"/>
      <c r="H34" s="503"/>
      <c r="I34" s="503"/>
      <c r="J34" s="570"/>
      <c r="K34" s="1642" t="str">
        <f>IF((LEN(E34)-LEN(SUBSTITUTE(E34,".","")))/LEN(".")=1,"p","")</f>
        <v/>
      </c>
      <c r="L34" s="1642"/>
      <c r="M34" s="1642"/>
      <c r="N34" s="1642"/>
      <c r="O34" s="1642"/>
      <c r="P34" s="1642"/>
      <c r="Q34" s="1642"/>
      <c r="R34" s="1642"/>
      <c r="S34" s="1642"/>
      <c r="T34" s="1642"/>
      <c r="U34" s="571"/>
      <c r="V34" s="1642"/>
      <c r="W34" s="1642"/>
      <c r="X34" s="1642"/>
      <c r="Y34" s="1642"/>
      <c r="Z34" s="1642"/>
      <c r="AA34" s="572"/>
      <c r="AB34" s="572"/>
      <c r="AC34" s="572"/>
      <c r="AD34" s="572"/>
      <c r="AE34" s="572"/>
      <c r="AF34" s="1647">
        <v>0</v>
      </c>
    </row>
    <row s="1647" customFormat="1" customHeight="1" ht="0.75" hidden="1">
      <c r="A35" s="2377"/>
      <c r="B35" s="2378"/>
      <c r="C35" s="1173"/>
      <c r="D35" s="566"/>
      <c r="E35" s="573"/>
      <c r="F35" s="574"/>
      <c r="G35" s="569"/>
      <c r="H35" s="575"/>
      <c r="I35" s="575"/>
      <c r="J35" s="570"/>
      <c r="K35" s="1642" t="str">
        <f>IF((LEN(E35)-LEN(SUBSTITUTE(E35,".","")))/LEN(".")=1,"p","")</f>
        <v/>
      </c>
      <c r="L35" s="1642"/>
      <c r="M35" s="1642"/>
      <c r="N35" s="1642"/>
      <c r="O35" s="1642"/>
      <c r="P35" s="1642"/>
      <c r="Q35" s="1642"/>
      <c r="R35" s="1642"/>
      <c r="S35" s="1642"/>
      <c r="T35" s="1642"/>
      <c r="U35" s="571"/>
      <c r="V35" s="1642"/>
      <c r="W35" s="1642"/>
      <c r="X35" s="1642"/>
      <c r="Y35" s="1642"/>
      <c r="Z35" s="1642"/>
      <c r="AA35" s="572"/>
      <c r="AB35" s="572"/>
      <c r="AC35" s="572"/>
      <c r="AD35" s="572"/>
      <c r="AE35" s="572"/>
      <c r="AF35" s="1647">
        <v>0</v>
      </c>
    </row>
    <row s="1647" customFormat="1" customHeight="1" ht="0.75" hidden="1">
      <c r="A36" s="2377"/>
      <c r="B36" s="2378"/>
      <c r="C36" s="1173"/>
      <c r="D36" s="566"/>
      <c r="E36" s="573"/>
      <c r="F36" s="574"/>
      <c r="G36" s="569"/>
      <c r="H36" s="575"/>
      <c r="I36" s="575"/>
      <c r="J36" s="570"/>
      <c r="K36" s="1642" t="str">
        <f>IF((LEN(E36)-LEN(SUBSTITUTE(E36,".","")))/LEN(".")=1,"p","")</f>
        <v/>
      </c>
      <c r="L36" s="1642"/>
      <c r="M36" s="1642"/>
      <c r="N36" s="1642"/>
      <c r="O36" s="1642"/>
      <c r="P36" s="1642"/>
      <c r="Q36" s="1642"/>
      <c r="R36" s="1642"/>
      <c r="S36" s="1642"/>
      <c r="T36" s="1642"/>
      <c r="U36" s="571"/>
      <c r="V36" s="1642"/>
      <c r="W36" s="1642"/>
      <c r="X36" s="1642"/>
      <c r="Y36" s="1642"/>
      <c r="Z36" s="1642"/>
      <c r="AA36" s="572"/>
      <c r="AB36" s="572"/>
      <c r="AC36" s="572"/>
      <c r="AD36" s="572"/>
      <c r="AE36" s="572"/>
      <c r="AF36" s="1647">
        <v>0</v>
      </c>
    </row>
    <row s="1647" customFormat="1" customHeight="1" ht="0.75" hidden="1">
      <c r="A37" s="2377"/>
      <c r="B37" s="2378"/>
      <c r="C37" s="1173"/>
      <c r="D37" s="566"/>
      <c r="E37" s="573"/>
      <c r="F37" s="574"/>
      <c r="G37" s="569"/>
      <c r="H37" s="575"/>
      <c r="I37" s="575"/>
      <c r="J37" s="570"/>
      <c r="K37" s="1642" t="str">
        <f>IF((LEN(E37)-LEN(SUBSTITUTE(E37,".","")))/LEN(".")=1,"p","")</f>
        <v/>
      </c>
      <c r="L37" s="1642"/>
      <c r="M37" s="1642"/>
      <c r="N37" s="1642"/>
      <c r="O37" s="1642"/>
      <c r="P37" s="1642"/>
      <c r="Q37" s="1642"/>
      <c r="R37" s="1642"/>
      <c r="S37" s="1642"/>
      <c r="T37" s="1642"/>
      <c r="U37" s="571"/>
      <c r="V37" s="1642"/>
      <c r="W37" s="1642"/>
      <c r="X37" s="1642"/>
      <c r="Y37" s="1642"/>
      <c r="Z37" s="1642"/>
      <c r="AA37" s="572"/>
      <c r="AB37" s="572"/>
      <c r="AC37" s="572"/>
      <c r="AD37" s="572"/>
      <c r="AE37" s="572"/>
      <c r="AF37" s="1647">
        <v>0</v>
      </c>
    </row>
    <row s="1647" customFormat="1" customHeight="1" ht="0.75" hidden="1">
      <c r="A38" s="2377"/>
      <c r="B38" s="2378"/>
      <c r="C38" s="1173"/>
      <c r="D38" s="566"/>
      <c r="E38" s="573"/>
      <c r="F38" s="574"/>
      <c r="G38" s="569"/>
      <c r="H38" s="575"/>
      <c r="I38" s="575"/>
      <c r="J38" s="570"/>
      <c r="K38" s="1642" t="str">
        <f>IF((LEN(E38)-LEN(SUBSTITUTE(E38,".","")))/LEN(".")=1,"p","")</f>
        <v/>
      </c>
      <c r="L38" s="1642"/>
      <c r="M38" s="1642"/>
      <c r="N38" s="1642"/>
      <c r="O38" s="1642"/>
      <c r="P38" s="1642"/>
      <c r="Q38" s="1642"/>
      <c r="R38" s="1642"/>
      <c r="S38" s="1642"/>
      <c r="T38" s="1642"/>
      <c r="U38" s="571"/>
      <c r="V38" s="1642"/>
      <c r="W38" s="1642"/>
      <c r="X38" s="1642"/>
      <c r="Y38" s="1642"/>
      <c r="Z38" s="1642"/>
      <c r="AA38" s="572"/>
      <c r="AB38" s="572"/>
      <c r="AC38" s="572"/>
      <c r="AD38" s="572"/>
      <c r="AE38" s="572"/>
      <c r="AF38" s="1647">
        <v>0</v>
      </c>
    </row>
    <row s="1647" customFormat="1" customHeight="1" ht="0.75" hidden="1">
      <c r="A39" s="2377"/>
      <c r="B39" s="2378"/>
      <c r="C39" s="1173"/>
      <c r="D39" s="566"/>
      <c r="E39" s="573"/>
      <c r="F39" s="574"/>
      <c r="G39" s="569"/>
      <c r="H39" s="503"/>
      <c r="I39" s="503"/>
      <c r="J39" s="570"/>
      <c r="K39" s="1642" t="str">
        <f>IF((LEN(E39)-LEN(SUBSTITUTE(E39,".","")))/LEN(".")=1,"p","")</f>
        <v/>
      </c>
      <c r="L39" s="1642"/>
      <c r="M39" s="1642"/>
      <c r="N39" s="1642"/>
      <c r="O39" s="1642"/>
      <c r="P39" s="1642"/>
      <c r="Q39" s="1642"/>
      <c r="R39" s="1642"/>
      <c r="S39" s="1642"/>
      <c r="T39" s="1642"/>
      <c r="U39" s="571"/>
      <c r="V39" s="1642"/>
      <c r="W39" s="1642"/>
      <c r="X39" s="1642"/>
      <c r="Y39" s="1642"/>
      <c r="Z39" s="1642"/>
      <c r="AA39" s="572"/>
      <c r="AB39" s="572"/>
      <c r="AC39" s="572"/>
      <c r="AD39" s="572"/>
      <c r="AE39" s="572"/>
      <c r="AF39" s="1647">
        <v>0</v>
      </c>
    </row>
    <row s="1372" customFormat="1" customHeight="1" ht="15" hidden="1">
      <c r="A40" s="2377"/>
      <c r="C40" s="1642"/>
      <c r="D40" s="1639"/>
      <c r="E40" s="576"/>
      <c r="F40" s="577" t="s">
        <v>606</v>
      </c>
      <c r="G40" s="578"/>
      <c r="H40" s="579"/>
      <c r="I40" s="579"/>
      <c r="J40" s="307"/>
      <c r="K40" s="1642" t="str">
        <f>IF((LEN(E40)-LEN(SUBSTITUTE(E40,".","")))/LEN(".")=1,"p","")</f>
        <v/>
      </c>
      <c r="L40" s="1642"/>
      <c r="M40" s="1642"/>
      <c r="R40" s="1642"/>
      <c r="U40" s="550"/>
      <c r="AA40" s="1638"/>
      <c r="AB40" s="1638"/>
      <c r="AC40" s="1638"/>
      <c r="AD40" s="1638"/>
      <c r="AE40" s="1638"/>
      <c r="AF40" s="1166">
        <v>0</v>
      </c>
    </row>
    <row customHeight="1" ht="11.25" hidden="1">
      <c r="A41" s="2377" t="s">
        <v>607</v>
      </c>
      <c r="D41" s="1644"/>
      <c r="E41" s="552" t="str">
        <f>FHD_NUM_P_5</f>
        <v/>
      </c>
      <c r="F41" s="1530" t="str">
        <f>FHD_P_5</f>
        <v/>
      </c>
      <c r="G41" s="1884" t="s">
        <v>589</v>
      </c>
      <c r="H41" s="563"/>
      <c r="I41" s="563"/>
      <c r="J41" s="295" t="str">
        <f>FHD_NOTE_P_5</f>
        <v/>
      </c>
      <c r="K41" s="1642" t="str">
        <f>IF((LEN(E41)-LEN(SUBSTITUTE(E41,".","")))/LEN(".")=1,"p","")</f>
        <v/>
      </c>
      <c r="AF41" s="1637">
        <v>0</v>
      </c>
    </row>
    <row customHeight="1" ht="11.25" hidden="1">
      <c r="A42" s="2377"/>
      <c r="D42" s="1644"/>
      <c r="E42" s="552" t="str">
        <f>FHD_NUM_P_6</f>
        <v/>
      </c>
      <c r="F42" s="1530" t="str">
        <f>FHD_P_6</f>
        <v/>
      </c>
      <c r="G42" s="1884" t="s">
        <v>589</v>
      </c>
      <c r="H42" s="563"/>
      <c r="I42" s="563"/>
      <c r="J42" s="295" t="str">
        <f>FHD_NOTE_P_6</f>
        <v/>
      </c>
      <c r="K42" s="1642" t="str">
        <f>IF((LEN(E42)-LEN(SUBSTITUTE(E42,".","")))/LEN(".")=1,"p","")</f>
        <v/>
      </c>
      <c r="AF42" s="1637">
        <v>0</v>
      </c>
    </row>
    <row customHeight="1" ht="11.25" hidden="1">
      <c r="A43" s="2377"/>
      <c r="D43" s="1644"/>
      <c r="E43" s="552" t="str">
        <f>FHD_NUM_P_7</f>
        <v/>
      </c>
      <c r="F43" s="1530" t="str">
        <f>FHD_P_7</f>
        <v/>
      </c>
      <c r="G43" s="1884" t="s">
        <v>589</v>
      </c>
      <c r="H43" s="563"/>
      <c r="I43" s="563"/>
      <c r="J43" s="295" t="str">
        <f>FHD_NOTE_P_7</f>
        <v/>
      </c>
      <c r="K43" s="1642" t="str">
        <f>IF((LEN(E43)-LEN(SUBSTITUTE(E43,".","")))/LEN(".")=1,"p","")</f>
        <v/>
      </c>
      <c r="AF43" s="1637">
        <v>0</v>
      </c>
    </row>
    <row customHeight="1" ht="11.549999999999999">
      <c r="D44" s="1644"/>
      <c r="E44" s="552" t="str">
        <f>FHD_NUM_P_8</f>
        <v>2.2</v>
      </c>
      <c r="F44" s="1530" t="str">
        <f>FHD_P_8</f>
        <v>Расходы на приобретаемую электрическую энергию (мощность), используемую в технологическом процессе</v>
      </c>
      <c r="G44" s="1884" t="s">
        <v>589</v>
      </c>
      <c r="H44" s="563"/>
      <c r="I44" s="563"/>
      <c r="J44" s="295" t="str">
        <f>FHD_NOTE_P_8</f>
        <v/>
      </c>
      <c r="K44" s="1642" t="str">
        <f>IF((LEN(E44)-LEN(SUBSTITUTE(E44,".","")))/LEN(".")=1,"p","")</f>
        <v>p</v>
      </c>
      <c r="AF44" s="1637">
        <v>11</v>
      </c>
    </row>
    <row customHeight="1" ht="11.549999999999999">
      <c r="D45" s="1644"/>
      <c r="E45" s="552" t="str">
        <f>FHD_NUM_P_9</f>
        <v>2.2.1</v>
      </c>
      <c r="F45" s="1656" t="str">
        <f>FHD_P_9</f>
        <v>Средневзвешенная стоимость 1 кВт.ч (с учетом мощности)</v>
      </c>
      <c r="G45" s="1884" t="s">
        <v>608</v>
      </c>
      <c r="H45" s="563"/>
      <c r="I45" s="563"/>
      <c r="J45" s="295" t="str">
        <f>FHD_NOTE_P_9</f>
        <v/>
      </c>
      <c r="K45" s="1642" t="str">
        <f>IF((LEN(E45)-LEN(SUBSTITUTE(E45,".","")))/LEN(".")=1,"p","")</f>
        <v/>
      </c>
      <c r="AF45" s="1637">
        <v>11</v>
      </c>
    </row>
    <row s="1372" customFormat="1" customHeight="1" ht="11.549999999999999">
      <c r="A46" s="993"/>
      <c r="C46" s="1642"/>
      <c r="D46" s="580"/>
      <c r="E46" s="552" t="str">
        <f>FHD_NUM_P_10</f>
        <v>2.2.2</v>
      </c>
      <c r="F46" s="1656" t="str">
        <f>FHD_P_10</f>
        <v>Объём приобретения электрической энергии</v>
      </c>
      <c r="G46" s="1884" t="s">
        <v>609</v>
      </c>
      <c r="H46" s="563"/>
      <c r="I46" s="563"/>
      <c r="J46" s="295" t="str">
        <f>FHD_NOTE_P_10</f>
        <v/>
      </c>
      <c r="K46" s="1642" t="str">
        <f>IF((LEN(E46)-LEN(SUBSTITUTE(E46,".","")))/LEN(".")=1,"p","")</f>
        <v/>
      </c>
      <c r="L46" s="1642"/>
      <c r="M46" s="1642"/>
      <c r="R46" s="1642"/>
      <c r="U46" s="550"/>
      <c r="AA46" s="1638"/>
      <c r="AB46" s="1638"/>
      <c r="AC46" s="1638"/>
      <c r="AD46" s="1638"/>
      <c r="AE46" s="1638"/>
      <c r="AF46" s="1166">
        <v>11</v>
      </c>
    </row>
    <row s="1372" customFormat="1" customHeight="1" ht="11.25" hidden="1">
      <c r="A47" s="995" t="s">
        <v>610</v>
      </c>
      <c r="C47" s="1642"/>
      <c r="D47" s="581"/>
      <c r="E47" s="552" t="str">
        <f>FHD_NUM_P_11</f>
        <v/>
      </c>
      <c r="F47" s="1530" t="str">
        <f>FHD_P_11</f>
        <v/>
      </c>
      <c r="G47" s="1884" t="s">
        <v>589</v>
      </c>
      <c r="H47" s="563"/>
      <c r="I47" s="563"/>
      <c r="J47" s="295" t="str">
        <f>FHD_NOTE_P_11</f>
        <v/>
      </c>
      <c r="K47" s="1642" t="str">
        <f>IF((LEN(E47)-LEN(SUBSTITUTE(E47,".","")))/LEN(".")=1,"p","")</f>
        <v/>
      </c>
      <c r="L47" s="1642"/>
      <c r="M47" s="1642"/>
      <c r="R47" s="1642"/>
      <c r="U47" s="550"/>
      <c r="AA47" s="1638"/>
      <c r="AB47" s="1638"/>
      <c r="AC47" s="1638"/>
      <c r="AD47" s="1638"/>
      <c r="AE47" s="1638"/>
      <c r="AF47" s="1166">
        <v>0</v>
      </c>
    </row>
    <row s="1372" customFormat="1" customHeight="1" ht="18.75">
      <c r="A48" s="995" t="s">
        <v>611</v>
      </c>
      <c r="C48" s="1642"/>
      <c r="D48" s="1644"/>
      <c r="E48" s="552" t="str">
        <f>FHD_NUM_P_12</f>
        <v>2.3</v>
      </c>
      <c r="F48" s="1530" t="str">
        <f>FHD_P_12</f>
        <v>Расходы на химические реагенты, используемые в технологическом процессе</v>
      </c>
      <c r="G48" s="1884" t="s">
        <v>589</v>
      </c>
      <c r="H48" s="583"/>
      <c r="I48" s="583"/>
      <c r="J48" s="295" t="str">
        <f>FHD_NOTE_P_12</f>
        <v/>
      </c>
      <c r="K48" s="1642" t="str">
        <f>IF((LEN(E48)-LEN(SUBSTITUTE(E48,".","")))/LEN(".")=1,"p","")</f>
        <v>p</v>
      </c>
      <c r="L48" s="1642"/>
      <c r="M48" s="1642"/>
      <c r="R48" s="1642"/>
      <c r="U48" s="550"/>
      <c r="AA48" s="1638"/>
      <c r="AB48" s="1638"/>
      <c r="AC48" s="1638"/>
      <c r="AD48" s="1638"/>
      <c r="AE48" s="1638"/>
      <c r="AF48" s="1166">
        <v>18</v>
      </c>
    </row>
    <row s="1371" customFormat="1" customHeight="1" ht="11.549999999999999">
      <c r="A49" s="994"/>
      <c r="C49" s="736"/>
      <c r="D49" s="679"/>
      <c r="E49" s="552" t="str">
        <f>FHD_NUM_P_13</f>
        <v>2.4</v>
      </c>
      <c r="F49" s="153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4" t="s">
        <v>589</v>
      </c>
      <c r="H49" s="563"/>
      <c r="I49" s="563"/>
      <c r="J49" s="295" t="str">
        <f>FHD_NOTE_P_13</f>
        <v>Указывается общая сумма расходов на оплату труда и отчислений на социальные нужды основного производственного персонала.</v>
      </c>
      <c r="K49" s="1642" t="str">
        <f>IF((LEN(E49)-LEN(SUBSTITUTE(E49,".","")))/LEN(".")=1,"p","")</f>
        <v>p</v>
      </c>
      <c r="L49" s="736"/>
      <c r="M49" s="736"/>
      <c r="R49" s="736"/>
      <c r="U49" s="737"/>
      <c r="AA49" s="738"/>
      <c r="AB49" s="738"/>
      <c r="AC49" s="738"/>
      <c r="AD49" s="738"/>
      <c r="AE49" s="738"/>
      <c r="AF49" s="735">
        <v>11</v>
      </c>
    </row>
    <row s="1371" customFormat="1" customHeight="1" ht="11.549999999999999">
      <c r="A50" s="994"/>
      <c r="C50" s="736"/>
      <c r="D50" s="679"/>
      <c r="E50" s="552" t="str">
        <f>FHD_NUM_P_14</f>
        <v>2.4.1</v>
      </c>
      <c r="F50" s="1656" t="str">
        <f>FHD_P_14</f>
        <v>Расходы на оплату труда основного производственного персонала</v>
      </c>
      <c r="G50" s="1884" t="s">
        <v>589</v>
      </c>
      <c r="H50" s="563"/>
      <c r="I50" s="563"/>
      <c r="J50" s="295" t="str">
        <f>FHD_NOTE_P_14</f>
        <v/>
      </c>
      <c r="K50" s="1642" t="str">
        <f>IF((LEN(E50)-LEN(SUBSTITUTE(E50,".","")))/LEN(".")=1,"p","")</f>
        <v/>
      </c>
      <c r="L50" s="736"/>
      <c r="M50" s="736"/>
      <c r="R50" s="736"/>
      <c r="U50" s="737"/>
      <c r="AA50" s="738"/>
      <c r="AB50" s="738"/>
      <c r="AC50" s="738"/>
      <c r="AD50" s="738"/>
      <c r="AE50" s="738"/>
      <c r="AF50" s="735">
        <v>11</v>
      </c>
    </row>
    <row s="1371" customFormat="1" customHeight="1" ht="11.549999999999999">
      <c r="A51" s="994"/>
      <c r="C51" s="736"/>
      <c r="D51" s="679"/>
      <c r="E51" s="552" t="str">
        <f>FHD_NUM_P_15</f>
        <v>2.4.2</v>
      </c>
      <c r="F51" s="1656" t="str">
        <f>FHD_P_15</f>
        <v>Страховые взносы на обязательное социальное страхование, выплачиваемые из фонда оплаты труда основного производственного персонала</v>
      </c>
      <c r="G51" s="1884" t="s">
        <v>589</v>
      </c>
      <c r="H51" s="563"/>
      <c r="I51" s="563"/>
      <c r="J51" s="295" t="str">
        <f>FHD_NOTE_P_15</f>
        <v/>
      </c>
      <c r="K51" s="1642" t="str">
        <f>IF((LEN(E51)-LEN(SUBSTITUTE(E51,".","")))/LEN(".")=1,"p","")</f>
        <v/>
      </c>
      <c r="L51" s="736"/>
      <c r="M51" s="736"/>
      <c r="R51" s="736"/>
      <c r="U51" s="737"/>
      <c r="AA51" s="738"/>
      <c r="AB51" s="738"/>
      <c r="AC51" s="738"/>
      <c r="AD51" s="738"/>
      <c r="AE51" s="738"/>
      <c r="AF51" s="735">
        <v>11</v>
      </c>
    </row>
    <row s="1372" customFormat="1" customHeight="1" ht="11.549999999999999">
      <c r="A52" s="993"/>
      <c r="C52" s="1642"/>
      <c r="D52" s="1644"/>
      <c r="E52" s="552" t="str">
        <f>FHD_NUM_P_16</f>
        <v>2.5</v>
      </c>
      <c r="F52" s="153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4" t="s">
        <v>589</v>
      </c>
      <c r="H52" s="563"/>
      <c r="I52" s="563"/>
      <c r="J52" s="295" t="str">
        <f>FHD_NOTE_P_16</f>
        <v>Указывается общая сумма расходов на оплату труда и отчислений на социальные нужды административно-управленческого персонала.</v>
      </c>
      <c r="K52" s="1642" t="str">
        <f>IF((LEN(E52)-LEN(SUBSTITUTE(E52,".","")))/LEN(".")=1,"p","")</f>
        <v>p</v>
      </c>
      <c r="L52" s="1642"/>
      <c r="M52" s="1648"/>
      <c r="N52" s="543"/>
      <c r="O52" s="543"/>
      <c r="R52" s="1642"/>
      <c r="U52" s="550"/>
      <c r="AA52" s="1638"/>
      <c r="AB52" s="1638"/>
      <c r="AC52" s="1638"/>
      <c r="AD52" s="1638"/>
      <c r="AE52" s="1638"/>
      <c r="AF52" s="1166">
        <v>11</v>
      </c>
    </row>
    <row s="1372" customFormat="1" customHeight="1" ht="11.549999999999999">
      <c r="A53" s="993"/>
      <c r="C53" s="1642"/>
      <c r="D53" s="1644"/>
      <c r="E53" s="552" t="str">
        <f>FHD_NUM_P_17</f>
        <v>2.5.1</v>
      </c>
      <c r="F53" s="1656" t="str">
        <f>FHD_P_17</f>
        <v>Расходы на оплату труда административно-управленческого персонала</v>
      </c>
      <c r="G53" s="1884" t="s">
        <v>589</v>
      </c>
      <c r="H53" s="563"/>
      <c r="I53" s="563"/>
      <c r="J53" s="295" t="str">
        <f>FHD_NOTE_P_17</f>
        <v/>
      </c>
      <c r="K53" s="1642" t="str">
        <f>IF((LEN(E53)-LEN(SUBSTITUTE(E53,".","")))/LEN(".")=1,"p","")</f>
        <v/>
      </c>
      <c r="L53" s="1642"/>
      <c r="M53" s="1648"/>
      <c r="N53" s="543"/>
      <c r="O53" s="543"/>
      <c r="R53" s="1642"/>
      <c r="U53" s="550"/>
      <c r="AA53" s="1638"/>
      <c r="AB53" s="1638"/>
      <c r="AC53" s="1638"/>
      <c r="AD53" s="1638"/>
      <c r="AE53" s="1638"/>
      <c r="AF53" s="1166">
        <v>11</v>
      </c>
    </row>
    <row s="1372" customFormat="1" customHeight="1" ht="11.549999999999999">
      <c r="A54" s="993"/>
      <c r="C54" s="1642"/>
      <c r="D54" s="1644"/>
      <c r="E54" s="552" t="str">
        <f>FHD_NUM_P_18</f>
        <v>2.5.2</v>
      </c>
      <c r="F54" s="165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4" t="s">
        <v>589</v>
      </c>
      <c r="H54" s="563"/>
      <c r="I54" s="563"/>
      <c r="J54" s="295" t="str">
        <f>FHD_NOTE_P_18</f>
        <v/>
      </c>
      <c r="K54" s="1642" t="str">
        <f>IF((LEN(E54)-LEN(SUBSTITUTE(E54,".","")))/LEN(".")=1,"p","")</f>
        <v/>
      </c>
      <c r="L54" s="1642"/>
      <c r="M54" s="1648"/>
      <c r="N54" s="543"/>
      <c r="O54" s="543"/>
      <c r="R54" s="1642"/>
      <c r="U54" s="550"/>
      <c r="AA54" s="1638"/>
      <c r="AB54" s="1638"/>
      <c r="AC54" s="1638"/>
      <c r="AD54" s="1638"/>
      <c r="AE54" s="1638"/>
      <c r="AF54" s="1166">
        <v>11</v>
      </c>
    </row>
    <row s="1372" customFormat="1" customHeight="1" ht="11.549999999999999">
      <c r="A55" s="993"/>
      <c r="C55" s="1642"/>
      <c r="D55" s="581"/>
      <c r="E55" s="552" t="str">
        <f>FHD_NUM_P_19</f>
        <v>2.6</v>
      </c>
      <c r="F55" s="1530" t="str">
        <f>FHD_P_19</f>
        <v>Расходы на амортизацию основных средств и нематериальных активов</v>
      </c>
      <c r="G55" s="1884" t="s">
        <v>589</v>
      </c>
      <c r="H55" s="563"/>
      <c r="I55" s="563"/>
      <c r="J55" s="295" t="str">
        <f>FHD_NOTE_P_19</f>
        <v/>
      </c>
      <c r="K55" s="1642" t="str">
        <f>IF((LEN(E55)-LEN(SUBSTITUTE(E55,".","")))/LEN(".")=1,"p","")</f>
        <v>p</v>
      </c>
      <c r="L55" s="1642"/>
      <c r="M55" s="1642"/>
      <c r="R55" s="1642"/>
      <c r="U55" s="550"/>
      <c r="AA55" s="1638"/>
      <c r="AB55" s="1638"/>
      <c r="AC55" s="1638"/>
      <c r="AD55" s="1638"/>
      <c r="AE55" s="1638"/>
      <c r="AF55" s="1166">
        <v>11</v>
      </c>
    </row>
    <row s="1372" customFormat="1" customHeight="1" ht="11.549999999999999">
      <c r="A56" s="993"/>
      <c r="C56" s="1642"/>
      <c r="D56" s="581"/>
      <c r="E56" s="552" t="str">
        <f>FHD_NUM_P_20</f>
        <v>2.6.1</v>
      </c>
      <c r="F56" s="1656" t="str">
        <f>FHD_P_20</f>
        <v>Расходы на амортизацию основных средств</v>
      </c>
      <c r="G56" s="1884" t="s">
        <v>589</v>
      </c>
      <c r="H56" s="563"/>
      <c r="I56" s="563"/>
      <c r="J56" s="295" t="str">
        <f>FHD_NOTE_P_20</f>
        <v/>
      </c>
      <c r="K56" s="1642" t="str">
        <f>IF((LEN(E56)-LEN(SUBSTITUTE(E56,".","")))/LEN(".")=1,"p","")</f>
        <v/>
      </c>
      <c r="L56" s="1642"/>
      <c r="M56" s="1642"/>
      <c r="R56" s="1642"/>
      <c r="U56" s="550"/>
      <c r="AA56" s="1638"/>
      <c r="AB56" s="1638"/>
      <c r="AC56" s="1638"/>
      <c r="AD56" s="1638"/>
      <c r="AE56" s="1638"/>
      <c r="AF56" s="1166">
        <v>11</v>
      </c>
    </row>
    <row s="1372" customFormat="1" customHeight="1" ht="11.549999999999999">
      <c r="A57" s="993"/>
      <c r="C57" s="1642"/>
      <c r="D57" s="581"/>
      <c r="E57" s="552" t="str">
        <f>FHD_NUM_P_21</f>
        <v>2.6.2</v>
      </c>
      <c r="F57" s="1656" t="str">
        <f>FHD_P_21</f>
        <v>Расходы на амортизацию нематериальных активов</v>
      </c>
      <c r="G57" s="1884" t="s">
        <v>589</v>
      </c>
      <c r="H57" s="563"/>
      <c r="I57" s="563"/>
      <c r="J57" s="295" t="str">
        <f>FHD_NOTE_P_21</f>
        <v/>
      </c>
      <c r="K57" s="1642" t="str">
        <f>IF((LEN(E57)-LEN(SUBSTITUTE(E57,".","")))/LEN(".")=1,"p","")</f>
        <v/>
      </c>
      <c r="L57" s="1642"/>
      <c r="M57" s="1642"/>
      <c r="R57" s="1642"/>
      <c r="U57" s="550"/>
      <c r="AA57" s="1638"/>
      <c r="AB57" s="1638"/>
      <c r="AC57" s="1638"/>
      <c r="AD57" s="1638"/>
      <c r="AE57" s="1638"/>
      <c r="AF57" s="1166">
        <v>11</v>
      </c>
    </row>
    <row s="1372" customFormat="1" customHeight="1" ht="11.549999999999999">
      <c r="A58" s="993"/>
      <c r="C58" s="1642"/>
      <c r="D58" s="1644"/>
      <c r="E58" s="552" t="str">
        <f>FHD_NUM_P_22</f>
        <v>2.7</v>
      </c>
      <c r="F58" s="1530" t="str">
        <f>FHD_P_22</f>
        <v>Расходы на аренду имущества, используемого для осуществления регулируемых видов деятельности в сфере холодного водоснабжения</v>
      </c>
      <c r="G58" s="1884" t="s">
        <v>589</v>
      </c>
      <c r="H58" s="563"/>
      <c r="I58" s="563"/>
      <c r="J58" s="295" t="str">
        <f>FHD_NOTE_P_22</f>
        <v/>
      </c>
      <c r="K58" s="1642" t="str">
        <f>IF((LEN(E58)-LEN(SUBSTITUTE(E58,".","")))/LEN(".")=1,"p","")</f>
        <v>p</v>
      </c>
      <c r="L58" s="1642"/>
      <c r="M58" s="1642"/>
      <c r="R58" s="1642"/>
      <c r="U58" s="550"/>
      <c r="AA58" s="1638"/>
      <c r="AB58" s="1638"/>
      <c r="AC58" s="1638"/>
      <c r="AD58" s="1638"/>
      <c r="AE58" s="1638"/>
      <c r="AF58" s="1166">
        <v>11</v>
      </c>
    </row>
    <row s="1372" customFormat="1" customHeight="1" ht="11.549999999999999">
      <c r="A59" s="993"/>
      <c r="C59" s="1642"/>
      <c r="D59" s="581"/>
      <c r="E59" s="552" t="str">
        <f>FHD_NUM_P_23</f>
        <v>2.8</v>
      </c>
      <c r="F59" s="1530" t="str">
        <f>FHD_P_23</f>
        <v>Общепроизводственные расходы, в том числе:</v>
      </c>
      <c r="G59" s="1884" t="s">
        <v>589</v>
      </c>
      <c r="H59" s="563"/>
      <c r="I59" s="563"/>
      <c r="J59" s="295" t="str">
        <f>FHD_NOTE_P_23</f>
        <v>Указывается общая сумма общепроизводственных расходов.</v>
      </c>
      <c r="K59" s="1642" t="str">
        <f>IF((LEN(E59)-LEN(SUBSTITUTE(E59,".","")))/LEN(".")=1,"p","")</f>
        <v>p</v>
      </c>
      <c r="L59" s="1642"/>
      <c r="M59" s="1642"/>
      <c r="R59" s="1642"/>
      <c r="U59" s="550"/>
      <c r="AA59" s="1638"/>
      <c r="AB59" s="1638"/>
      <c r="AC59" s="1638"/>
      <c r="AD59" s="1638"/>
      <c r="AE59" s="1638"/>
      <c r="AF59" s="1166">
        <v>11</v>
      </c>
    </row>
    <row s="1372" customFormat="1" customHeight="1" ht="11.549999999999999">
      <c r="A60" s="993"/>
      <c r="C60" s="1642"/>
      <c r="D60" s="581"/>
      <c r="E60" s="552" t="str">
        <f>FHD_NUM_P_24</f>
        <v>2.8.1</v>
      </c>
      <c r="F60" s="1656" t="str">
        <f>FHD_P_24</f>
        <v>Расходы на текущий ремонт</v>
      </c>
      <c r="G60" s="1884" t="s">
        <v>589</v>
      </c>
      <c r="H60" s="563"/>
      <c r="I60" s="563"/>
      <c r="J60" s="295" t="str">
        <f>FHD_NOTE_P_24</f>
        <v>Указываются расходы на текущий ремонт, отнесенные к общепроизводственным расходам.</v>
      </c>
      <c r="K60" s="1642" t="str">
        <f>IF((LEN(E60)-LEN(SUBSTITUTE(E60,".","")))/LEN(".")=1,"p","")</f>
        <v/>
      </c>
      <c r="L60" s="1642"/>
      <c r="M60" s="1642"/>
      <c r="R60" s="1642"/>
      <c r="U60" s="550"/>
      <c r="AA60" s="1638"/>
      <c r="AB60" s="1638"/>
      <c r="AC60" s="1638"/>
      <c r="AD60" s="1638"/>
      <c r="AE60" s="1638"/>
      <c r="AF60" s="1166">
        <v>11</v>
      </c>
    </row>
    <row s="1372" customFormat="1" customHeight="1" ht="11.549999999999999">
      <c r="A61" s="993"/>
      <c r="C61" s="1642"/>
      <c r="D61" s="581"/>
      <c r="E61" s="552" t="str">
        <f>FHD_NUM_P_25</f>
        <v>2.8.2</v>
      </c>
      <c r="F61" s="1656" t="str">
        <f>FHD_P_25</f>
        <v>Расходы на капитальный ремонт</v>
      </c>
      <c r="G61" s="1884" t="s">
        <v>589</v>
      </c>
      <c r="H61" s="563"/>
      <c r="I61" s="563"/>
      <c r="J61" s="295" t="str">
        <f>FHD_NOTE_P_25</f>
        <v>Указываются расходы на капитальный ремонт, отнесенные к общепроизводственным расходам.</v>
      </c>
      <c r="K61" s="1642" t="str">
        <f>IF((LEN(E61)-LEN(SUBSTITUTE(E61,".","")))/LEN(".")=1,"p","")</f>
        <v/>
      </c>
      <c r="L61" s="1642"/>
      <c r="M61" s="1642"/>
      <c r="R61" s="1642"/>
      <c r="U61" s="550"/>
      <c r="AA61" s="1638"/>
      <c r="AB61" s="1638"/>
      <c r="AC61" s="1638"/>
      <c r="AD61" s="1638"/>
      <c r="AE61" s="1638"/>
      <c r="AF61" s="1166">
        <v>11</v>
      </c>
    </row>
    <row s="1372" customFormat="1" customHeight="1" ht="11.549999999999999">
      <c r="A62" s="993"/>
      <c r="C62" s="1642"/>
      <c r="D62" s="1644"/>
      <c r="E62" s="552" t="str">
        <f>FHD_NUM_P_26</f>
        <v>2.9</v>
      </c>
      <c r="F62" s="1530" t="str">
        <f>FHD_P_26</f>
        <v>Общехозяйственные расходы, в том числе:</v>
      </c>
      <c r="G62" s="1884" t="s">
        <v>589</v>
      </c>
      <c r="H62" s="563"/>
      <c r="I62" s="563"/>
      <c r="J62" s="295" t="str">
        <f>FHD_NOTE_P_26</f>
        <v>Указывается общая сумма общехозяйственных расходов.</v>
      </c>
      <c r="K62" s="1642" t="str">
        <f>IF((LEN(E62)-LEN(SUBSTITUTE(E62,".","")))/LEN(".")=1,"p","")</f>
        <v>p</v>
      </c>
      <c r="L62" s="1642"/>
      <c r="M62" s="1642"/>
      <c r="R62" s="1642"/>
      <c r="U62" s="550"/>
      <c r="AA62" s="1638"/>
      <c r="AB62" s="1638"/>
      <c r="AC62" s="1638"/>
      <c r="AD62" s="1638"/>
      <c r="AE62" s="1638"/>
      <c r="AF62" s="1166">
        <v>11</v>
      </c>
    </row>
    <row s="1372" customFormat="1" customHeight="1" ht="11.549999999999999">
      <c r="A63" s="993"/>
      <c r="C63" s="1642"/>
      <c r="D63" s="1644"/>
      <c r="E63" s="552" t="str">
        <f>FHD_NUM_P_27</f>
        <v>2.9.1</v>
      </c>
      <c r="F63" s="1656" t="str">
        <f>FHD_P_27</f>
        <v>Расходы на текущий ремонт</v>
      </c>
      <c r="G63" s="1884" t="s">
        <v>589</v>
      </c>
      <c r="H63" s="563"/>
      <c r="I63" s="563"/>
      <c r="J63" s="295" t="str">
        <f>FHD_NOTE_P_27</f>
        <v>Указываются расходы на текущий ремонт, отнесенные к общехозяйственным расходам.</v>
      </c>
      <c r="K63" s="1642" t="str">
        <f>IF((LEN(E63)-LEN(SUBSTITUTE(E63,".","")))/LEN(".")=1,"p","")</f>
        <v/>
      </c>
      <c r="L63" s="1642"/>
      <c r="M63" s="1642"/>
      <c r="R63" s="1642"/>
      <c r="U63" s="550"/>
      <c r="AA63" s="1638"/>
      <c r="AB63" s="1638"/>
      <c r="AC63" s="1638"/>
      <c r="AD63" s="1638"/>
      <c r="AE63" s="1638"/>
      <c r="AF63" s="1166">
        <v>11</v>
      </c>
    </row>
    <row s="1372" customFormat="1" customHeight="1" ht="11.549999999999999">
      <c r="A64" s="993"/>
      <c r="C64" s="1642"/>
      <c r="D64" s="1644"/>
      <c r="E64" s="552" t="str">
        <f>FHD_NUM_P_28</f>
        <v>2.9.2</v>
      </c>
      <c r="F64" s="1656" t="str">
        <f>FHD_P_28</f>
        <v>Расходы на капитальный ремонт</v>
      </c>
      <c r="G64" s="1884" t="s">
        <v>589</v>
      </c>
      <c r="H64" s="563"/>
      <c r="I64" s="563"/>
      <c r="J64" s="295" t="str">
        <f>FHD_NOTE_P_28</f>
        <v>Указываются расходы на капитальный ремонт, отнесенные к общехозяйственным расходам.</v>
      </c>
      <c r="K64" s="1642" t="str">
        <f>IF((LEN(E64)-LEN(SUBSTITUTE(E64,".","")))/LEN(".")=1,"p","")</f>
        <v/>
      </c>
      <c r="L64" s="1642"/>
      <c r="M64" s="1642"/>
      <c r="R64" s="1642"/>
      <c r="U64" s="550"/>
      <c r="AA64" s="1638"/>
      <c r="AB64" s="1638"/>
      <c r="AC64" s="1638"/>
      <c r="AD64" s="1638"/>
      <c r="AE64" s="1638"/>
      <c r="AF64" s="1166">
        <v>11</v>
      </c>
    </row>
    <row s="1372" customFormat="1" customHeight="1" ht="11.549999999999999">
      <c r="A65" s="993"/>
      <c r="C65" s="1642"/>
      <c r="D65" s="1644"/>
      <c r="E65" s="552" t="str">
        <f>FHD_NUM_P_29</f>
        <v>2.10</v>
      </c>
      <c r="F65" s="1530" t="str">
        <f>FHD_P_29</f>
        <v>Расходы на капитальный и текущий ремонт основных средств</v>
      </c>
      <c r="G65" s="1884" t="s">
        <v>589</v>
      </c>
      <c r="H65" s="563"/>
      <c r="I65" s="563"/>
      <c r="J65" s="29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42" t="str">
        <f>IF((LEN(E65)-LEN(SUBSTITUTE(E65,".","")))/LEN(".")=1,"p","")</f>
        <v>p</v>
      </c>
      <c r="L65" s="1642"/>
      <c r="M65" s="1642"/>
      <c r="R65" s="1642"/>
      <c r="U65" s="550"/>
      <c r="AA65" s="1638"/>
      <c r="AB65" s="1638"/>
      <c r="AC65" s="1638"/>
      <c r="AD65" s="1638"/>
      <c r="AE65" s="1638"/>
      <c r="AF65" s="1166">
        <v>11</v>
      </c>
    </row>
    <row s="1372" customFormat="1" customHeight="1" ht="11.549999999999999">
      <c r="A66" s="993"/>
      <c r="C66" s="1642"/>
      <c r="D66" s="1644"/>
      <c r="E66" s="552" t="str">
        <f>FHD_NUM_P_30</f>
        <v>2.10.1</v>
      </c>
      <c r="F66" s="165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4" t="s">
        <v>322</v>
      </c>
      <c r="H66" s="1655" t="s">
        <v>612</v>
      </c>
      <c r="I66" s="1655" t="s">
        <v>612</v>
      </c>
      <c r="J66" s="295" t="str">
        <f>FHD_NOTE_P_30</f>
        <v/>
      </c>
      <c r="K66" s="1642" t="str">
        <f>IF((LEN(E66)-LEN(SUBSTITUTE(E66,".","")))/LEN(".")=1,"p","")</f>
        <v/>
      </c>
      <c r="L66" s="1642">
        <f>_xlfn.IFERROR(MATCH("есть",B_FHD_FLAG_INDEX_1,0),0)</f>
        <v>0</v>
      </c>
      <c r="M66" s="1642"/>
      <c r="R66" s="1642"/>
      <c r="U66" s="550"/>
      <c r="AA66" s="1638"/>
      <c r="AB66" s="1638"/>
      <c r="AC66" s="1638"/>
      <c r="AD66" s="1638"/>
      <c r="AE66" s="1638"/>
      <c r="AF66" s="1166">
        <v>11</v>
      </c>
    </row>
    <row s="1372" customFormat="1" customHeight="1" ht="23.25">
      <c r="A67" s="2377" t="s">
        <v>613</v>
      </c>
      <c r="C67" s="1642"/>
      <c r="D67" s="1644"/>
      <c r="E67" s="552" t="str">
        <f>FHD_NUM_P_31</f>
        <v>2.11</v>
      </c>
      <c r="F67" s="153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4" t="s">
        <v>589</v>
      </c>
      <c r="H67" s="563"/>
      <c r="I67" s="563"/>
      <c r="J67" s="29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642" t="str">
        <f>IF((LEN(E67)-LEN(SUBSTITUTE(E67,".","")))/LEN(".")=1,"p","")</f>
        <v>p</v>
      </c>
      <c r="L67" s="1642"/>
      <c r="M67" s="1642"/>
      <c r="R67" s="1642"/>
      <c r="U67" s="550"/>
      <c r="AA67" s="1638"/>
      <c r="AB67" s="1638"/>
      <c r="AC67" s="1638"/>
      <c r="AD67" s="1638"/>
      <c r="AE67" s="1638"/>
      <c r="AF67" s="1166">
        <v>22</v>
      </c>
    </row>
    <row s="1372" customFormat="1" customHeight="1" ht="47.25">
      <c r="A68" s="2377"/>
      <c r="C68" s="1642"/>
      <c r="D68" s="1644"/>
      <c r="E68" s="552" t="str">
        <f>FHD_NUM_P_32</f>
        <v>2.11.1</v>
      </c>
      <c r="F68" s="165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4" t="s">
        <v>322</v>
      </c>
      <c r="H68" s="1655" t="s">
        <v>612</v>
      </c>
      <c r="I68" s="1655" t="s">
        <v>612</v>
      </c>
      <c r="J68" s="295" t="str">
        <f>FHD_NOTE_P_32</f>
        <v/>
      </c>
      <c r="K68" s="1642" t="str">
        <f>IF((LEN(E68)-LEN(SUBSTITUTE(E68,".","")))/LEN(".")=1,"p","")</f>
        <v/>
      </c>
      <c r="L68" s="1642">
        <f>_xlfn.IFERROR(MATCH("есть",B_FHD_FLAG_INDEX_2,0),0)</f>
        <v>0</v>
      </c>
      <c r="M68" s="1642"/>
      <c r="R68" s="1642"/>
      <c r="U68" s="550"/>
      <c r="AA68" s="1638"/>
      <c r="AB68" s="1638"/>
      <c r="AC68" s="1638"/>
      <c r="AD68" s="1638"/>
      <c r="AE68" s="1638"/>
      <c r="AF68" s="1166">
        <v>45</v>
      </c>
    </row>
    <row s="1372" customFormat="1" customHeight="1" ht="11.549999999999999">
      <c r="A69" s="993"/>
      <c r="C69" s="1642"/>
      <c r="D69" s="1644"/>
      <c r="E69" s="552" t="str">
        <f>FHD_NUM_P_33</f>
        <v>2.12</v>
      </c>
      <c r="F69" s="153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5" t="s">
        <v>589</v>
      </c>
      <c r="H69" s="585">
        <f>SUM(H70:H71)</f>
        <v>0</v>
      </c>
      <c r="I69" s="585">
        <f>SUM(I70:I71)</f>
        <v>0</v>
      </c>
      <c r="J69" s="29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642" t="str">
        <f>IF((LEN(E69)-LEN(SUBSTITUTE(E69,".","")))/LEN(".")=1,"p","")</f>
        <v>p</v>
      </c>
      <c r="L69" s="1642"/>
      <c r="M69" s="1642"/>
      <c r="R69" s="1642"/>
      <c r="U69" s="550"/>
      <c r="AA69" s="1638"/>
      <c r="AB69" s="1638"/>
      <c r="AC69" s="1638"/>
      <c r="AD69" s="1638"/>
      <c r="AE69" s="1638"/>
      <c r="AF69" s="1166">
        <v>11</v>
      </c>
    </row>
    <row s="1648" customFormat="1" customHeight="1" ht="1.05">
      <c r="A70" s="1173"/>
      <c r="D70" s="554"/>
      <c r="E70" s="1019" t="str">
        <f>E69&amp;".0"</f>
        <v>2.12.0</v>
      </c>
      <c r="F70" s="997"/>
      <c r="G70" s="1019"/>
      <c r="H70" s="998"/>
      <c r="I70" s="998"/>
      <c r="J70" s="999"/>
      <c r="K70" s="1642" t="str">
        <f>IF((LEN(E70)-LEN(SUBSTITUTE(E70,".","")))/LEN(".")=1,"p","")</f>
        <v/>
      </c>
      <c r="AF70" s="1642">
        <v>1</v>
      </c>
    </row>
    <row s="1372" customFormat="1" customHeight="1" ht="14.699999999999998">
      <c r="A71" s="993"/>
      <c r="C71" s="1642"/>
      <c r="D71" s="1639"/>
      <c r="E71" s="576"/>
      <c r="F71" s="577" t="s">
        <v>614</v>
      </c>
      <c r="G71" s="578"/>
      <c r="H71" s="579"/>
      <c r="I71" s="579"/>
      <c r="J71" s="307"/>
      <c r="K71" s="1642"/>
      <c r="L71" s="1642"/>
      <c r="M71" s="1642"/>
      <c r="R71" s="1642"/>
      <c r="U71" s="550"/>
      <c r="AA71" s="1638"/>
      <c r="AB71" s="1638"/>
      <c r="AC71" s="1638"/>
      <c r="AD71" s="1638"/>
      <c r="AE71" s="1638"/>
      <c r="AF71" s="1166">
        <v>14</v>
      </c>
    </row>
    <row s="1372" customFormat="1" customHeight="1" ht="18.75" hidden="1">
      <c r="A72" s="995" t="s">
        <v>615</v>
      </c>
      <c r="C72" s="1642"/>
      <c r="D72" s="1644"/>
      <c r="E72" s="552" t="str">
        <f>FHD_NUM_P_34</f>
        <v/>
      </c>
      <c r="F72" s="1886" t="str">
        <f>FHD_P_34</f>
        <v/>
      </c>
      <c r="G72" s="1884" t="s">
        <v>589</v>
      </c>
      <c r="H72" s="563"/>
      <c r="I72" s="563"/>
      <c r="J72" s="295" t="str">
        <f>FHD_NOTE_P_34</f>
        <v/>
      </c>
      <c r="K72" s="549"/>
      <c r="L72" s="1642"/>
      <c r="M72" s="1642"/>
      <c r="R72" s="1642"/>
      <c r="U72" s="550"/>
      <c r="AA72" s="1638"/>
      <c r="AB72" s="1638"/>
      <c r="AC72" s="1638"/>
      <c r="AD72" s="1638"/>
      <c r="AE72" s="1638"/>
      <c r="AF72" s="1166">
        <v>0</v>
      </c>
    </row>
    <row s="1372" customFormat="1" customHeight="1" ht="19.95">
      <c r="A73" s="993"/>
      <c r="C73" s="1642"/>
      <c r="D73" s="581"/>
      <c r="E73" s="552" t="str">
        <f>FHD_NUM_P_35</f>
        <v>3</v>
      </c>
      <c r="F73" s="1886" t="str">
        <f>FHD_P_35</f>
        <v>Чистая прибыль, полученная от регулируемого вида деятельности в сфере холодного водоснабжения, в том числе:</v>
      </c>
      <c r="G73" s="1884" t="s">
        <v>589</v>
      </c>
      <c r="H73" s="563"/>
      <c r="I73" s="563"/>
      <c r="J73" s="295" t="str">
        <f>FHD_NOTE_P_35</f>
        <v>Указывается общая сумма чистой прибыли, полученной от регулируемого вида деятельности.</v>
      </c>
      <c r="K73" s="549"/>
      <c r="L73" s="1642"/>
      <c r="M73" s="1642"/>
      <c r="R73" s="1642"/>
      <c r="U73" s="550"/>
      <c r="AA73" s="1638"/>
      <c r="AB73" s="1638"/>
      <c r="AC73" s="1638"/>
      <c r="AD73" s="1638"/>
      <c r="AE73" s="1638"/>
      <c r="AF73" s="1166">
        <v>19</v>
      </c>
    </row>
    <row s="1372" customFormat="1" customHeight="1" ht="19.95">
      <c r="A74" s="993"/>
      <c r="C74" s="1642"/>
      <c r="D74" s="1644"/>
      <c r="E74" s="552" t="str">
        <f>FHD_NUM_P_36</f>
        <v>3.1</v>
      </c>
      <c r="F74" s="153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4" t="s">
        <v>589</v>
      </c>
      <c r="H74" s="563"/>
      <c r="I74" s="563"/>
      <c r="J74" s="295" t="str">
        <f>FHD_NOTE_P_36</f>
        <v/>
      </c>
      <c r="K74" s="549"/>
      <c r="L74" s="1642"/>
      <c r="M74" s="1642"/>
      <c r="R74" s="1642"/>
      <c r="U74" s="550"/>
      <c r="AA74" s="1638"/>
      <c r="AB74" s="1638"/>
      <c r="AC74" s="1638"/>
      <c r="AD74" s="1638"/>
      <c r="AE74" s="1638"/>
      <c r="AF74" s="1166">
        <v>19</v>
      </c>
    </row>
    <row s="1372" customFormat="1" customHeight="1" ht="19.95">
      <c r="A75" s="993"/>
      <c r="C75" s="1642"/>
      <c r="D75" s="1644"/>
      <c r="E75" s="552" t="str">
        <f>FHD_NUM_P_37</f>
        <v>4</v>
      </c>
      <c r="F75" s="1886" t="str">
        <f>FHD_P_37</f>
        <v>Изменение стоимости основных фондов, в том числе:</v>
      </c>
      <c r="G75" s="1884" t="s">
        <v>589</v>
      </c>
      <c r="H75" s="563"/>
      <c r="I75" s="563"/>
      <c r="J75" s="295" t="str">
        <f>FHD_NOTE_P_37</f>
        <v>Указывается общее изменение стоимости основных фондов.</v>
      </c>
      <c r="K75" s="549"/>
      <c r="L75" s="1642"/>
      <c r="M75" s="1642"/>
      <c r="R75" s="1642"/>
      <c r="U75" s="550"/>
      <c r="AA75" s="1638"/>
      <c r="AB75" s="1638"/>
      <c r="AC75" s="1638"/>
      <c r="AD75" s="1638"/>
      <c r="AE75" s="1638"/>
      <c r="AF75" s="1166">
        <v>19</v>
      </c>
    </row>
    <row s="1372" customFormat="1" customHeight="1" ht="19.95">
      <c r="A76" s="993"/>
      <c r="C76" s="1642"/>
      <c r="D76" s="1644"/>
      <c r="E76" s="552" t="str">
        <f>FHD_NUM_P_38</f>
        <v>4.1</v>
      </c>
      <c r="F76" s="1530" t="str">
        <f>FHD_P_38</f>
        <v>Изменение стоимости основных фондов за счет их ввода в эксплуатацию (вывода из эксплуатации)</v>
      </c>
      <c r="G76" s="1884" t="s">
        <v>589</v>
      </c>
      <c r="H76" s="563"/>
      <c r="I76" s="563"/>
      <c r="J76" s="295" t="str">
        <f>FHD_NOTE_P_38</f>
        <v>Указываются общее изменение стоимости основных фондов за счет их ввода в эксплуатацию и вывода из эксплуатации.</v>
      </c>
      <c r="K76" s="549"/>
      <c r="L76" s="1642"/>
      <c r="M76" s="1642"/>
      <c r="R76" s="1642"/>
      <c r="U76" s="550"/>
      <c r="AA76" s="1638"/>
      <c r="AB76" s="1638"/>
      <c r="AC76" s="1638"/>
      <c r="AD76" s="1638"/>
      <c r="AE76" s="1638"/>
      <c r="AF76" s="1166">
        <v>19</v>
      </c>
    </row>
    <row s="1372" customFormat="1" customHeight="1" ht="19.95">
      <c r="A77" s="993"/>
      <c r="C77" s="1642"/>
      <c r="D77" s="1644"/>
      <c r="E77" s="552" t="str">
        <f>FHD_NUM_P_39</f>
        <v>4.1.1</v>
      </c>
      <c r="F77" s="1656" t="str">
        <f>FHD_P_39</f>
        <v>Изменение стоимости основных фондов за счет их ввода в эксплуатацию</v>
      </c>
      <c r="G77" s="2078" t="s">
        <v>589</v>
      </c>
      <c r="H77" s="563"/>
      <c r="I77" s="563"/>
      <c r="J77" s="295" t="str">
        <f>FHD_NOTE_P_39</f>
        <v>Указываются изменение стоимости основных фондов за счет их ввода в эксплуатацию.</v>
      </c>
      <c r="K77" s="549"/>
      <c r="L77" s="1642"/>
      <c r="M77" s="1642"/>
      <c r="R77" s="1642"/>
      <c r="U77" s="550"/>
      <c r="AA77" s="1638"/>
      <c r="AB77" s="1638"/>
      <c r="AC77" s="1638"/>
      <c r="AD77" s="1638"/>
      <c r="AE77" s="1638"/>
      <c r="AF77" s="1166">
        <v>19</v>
      </c>
    </row>
    <row s="1372" customFormat="1" customHeight="1" ht="19.95">
      <c r="A78" s="993"/>
      <c r="C78" s="1642"/>
      <c r="D78" s="1644"/>
      <c r="E78" s="552" t="str">
        <f>FHD_NUM_P_40</f>
        <v>4.1.2</v>
      </c>
      <c r="F78" s="2082" t="str">
        <f>FHD_P_40</f>
        <v>Изменение стоимости основных фондов за счет их вывода в эксплуатацию</v>
      </c>
      <c r="G78" s="2077" t="s">
        <v>589</v>
      </c>
      <c r="H78" s="982"/>
      <c r="I78" s="563"/>
      <c r="J78" s="295" t="str">
        <f>FHD_NOTE_P_40</f>
        <v>Указываются изменение стоимости основных фондов за счет их вывода из эксплуатации.</v>
      </c>
      <c r="K78" s="549"/>
      <c r="L78" s="1642"/>
      <c r="M78" s="1642"/>
      <c r="R78" s="1642"/>
      <c r="U78" s="550"/>
      <c r="AA78" s="1638"/>
      <c r="AB78" s="1638"/>
      <c r="AC78" s="1638"/>
      <c r="AD78" s="1638"/>
      <c r="AE78" s="1638"/>
      <c r="AF78" s="1166">
        <v>19</v>
      </c>
    </row>
    <row s="1372" customFormat="1" customHeight="1" ht="19.95">
      <c r="A79" s="993"/>
      <c r="C79" s="1642"/>
      <c r="D79" s="1644"/>
      <c r="E79" s="552" t="str">
        <f>FHD_NUM_P_41</f>
        <v>4.2</v>
      </c>
      <c r="F79" s="2081" t="str">
        <f>FHD_P_41</f>
        <v>Изменение стоимости основных фондов за счет их переоценки</v>
      </c>
      <c r="G79" s="2077" t="s">
        <v>589</v>
      </c>
      <c r="H79" s="982"/>
      <c r="I79" s="563"/>
      <c r="J79" s="295" t="str">
        <f>FHD_NOTE_P_41</f>
        <v/>
      </c>
      <c r="K79" s="549"/>
      <c r="L79" s="1642"/>
      <c r="M79" s="1642"/>
      <c r="R79" s="1642"/>
      <c r="U79" s="550"/>
      <c r="AA79" s="1638"/>
      <c r="AB79" s="1638"/>
      <c r="AC79" s="1638"/>
      <c r="AD79" s="1638"/>
      <c r="AE79" s="1638"/>
      <c r="AF79" s="1166">
        <v>19</v>
      </c>
    </row>
    <row s="1372" customFormat="1" customHeight="1" ht="19.95">
      <c r="A80" s="995" t="s">
        <v>616</v>
      </c>
      <c r="C80" s="1642"/>
      <c r="D80" s="1644"/>
      <c r="E80" s="552" t="str">
        <f>FHD_NUM_P_42</f>
        <v>5</v>
      </c>
      <c r="F80" s="2079" t="str">
        <f>FHD_P_42</f>
        <v>Валовая прибыль (убытки) от продажи товаров и услуг по регулируемым видам деятельности в сфере холодного водоснабжения</v>
      </c>
      <c r="G80" s="2077" t="s">
        <v>589</v>
      </c>
      <c r="H80" s="982"/>
      <c r="I80" s="563"/>
      <c r="J80" s="295" t="str">
        <f>FHD_NOTE_P_42</f>
        <v/>
      </c>
      <c r="K80" s="549"/>
      <c r="L80" s="1642"/>
      <c r="M80" s="1642"/>
      <c r="R80" s="1642"/>
      <c r="U80" s="550"/>
      <c r="AA80" s="1638"/>
      <c r="AB80" s="1638"/>
      <c r="AC80" s="1638"/>
      <c r="AD80" s="1638"/>
      <c r="AE80" s="1638"/>
      <c r="AF80" s="1166">
        <v>19</v>
      </c>
    </row>
    <row s="1372" customFormat="1" customHeight="1" ht="19.95">
      <c r="A81" s="993"/>
      <c r="C81" s="1642"/>
      <c r="D81" s="1644"/>
      <c r="E81" s="552" t="str">
        <f>FHD_NUM_P_43</f>
        <v>6</v>
      </c>
      <c r="F81" s="1886" t="str">
        <f>FHD_P_43</f>
        <v>Годовая бухгалтерская (финансовая) отчетность, включая бухгалтерский баланс и приложения к нему</v>
      </c>
      <c r="G81" s="2080" t="s">
        <v>322</v>
      </c>
      <c r="H81" s="1061"/>
      <c r="I81" s="824"/>
      <c r="J81" s="295"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549"/>
      <c r="L81" s="1642"/>
      <c r="M81" s="1642"/>
      <c r="R81" s="1642"/>
      <c r="U81" s="550"/>
      <c r="AA81" s="1638"/>
      <c r="AB81" s="1638"/>
      <c r="AC81" s="1638"/>
      <c r="AD81" s="1638"/>
      <c r="AE81" s="1638"/>
      <c r="AF81" s="1166">
        <v>19</v>
      </c>
    </row>
    <row s="1372" customFormat="1" customHeight="1" ht="18.75">
      <c r="A82" s="2377" t="s">
        <v>617</v>
      </c>
      <c r="C82" s="741"/>
      <c r="D82" s="739"/>
      <c r="E82" s="552" t="str">
        <f>FHD_NUM_P_44</f>
        <v>7</v>
      </c>
      <c r="F82" s="1886" t="str">
        <f>FHD_P_44</f>
        <v>Объём поднятой воды</v>
      </c>
      <c r="G82" s="1887" t="s">
        <v>618</v>
      </c>
      <c r="H82" s="983"/>
      <c r="I82" s="583"/>
      <c r="J82" s="295" t="str">
        <f>FHD_NOTE_P_44</f>
        <v/>
      </c>
      <c r="K82" s="740"/>
      <c r="L82" s="741"/>
      <c r="M82" s="741"/>
      <c r="R82" s="741"/>
      <c r="U82" s="742"/>
      <c r="AA82" s="743"/>
      <c r="AB82" s="743"/>
      <c r="AC82" s="743"/>
      <c r="AD82" s="743"/>
      <c r="AE82" s="743"/>
      <c r="AF82" s="916">
        <v>0</v>
      </c>
    </row>
    <row s="1372" customFormat="1" customHeight="1" ht="18.75">
      <c r="A83" s="2377"/>
      <c r="C83" s="741"/>
      <c r="D83" s="739"/>
      <c r="E83" s="552" t="str">
        <f>FHD_NUM_P_45</f>
        <v>8</v>
      </c>
      <c r="F83" s="1886" t="str">
        <f>FHD_P_45</f>
        <v>Объём покупной воды</v>
      </c>
      <c r="G83" s="1887" t="s">
        <v>618</v>
      </c>
      <c r="H83" s="983"/>
      <c r="I83" s="583"/>
      <c r="J83" s="295" t="str">
        <f>FHD_NOTE_P_45</f>
        <v/>
      </c>
      <c r="K83" s="740"/>
      <c r="L83" s="741"/>
      <c r="M83" s="741"/>
      <c r="R83" s="741"/>
      <c r="U83" s="742"/>
      <c r="AA83" s="743"/>
      <c r="AB83" s="743"/>
      <c r="AC83" s="743"/>
      <c r="AD83" s="743"/>
      <c r="AE83" s="743"/>
      <c r="AF83" s="916">
        <v>0</v>
      </c>
    </row>
    <row s="1372" customFormat="1" customHeight="1" ht="18.75">
      <c r="A84" s="2377"/>
      <c r="C84" s="741"/>
      <c r="D84" s="744"/>
      <c r="E84" s="552" t="str">
        <f>FHD_NUM_P_46</f>
        <v>9</v>
      </c>
      <c r="F84" s="1886" t="str">
        <f>FHD_P_46</f>
        <v>Объём воды, пропущенной через очистные сооружения</v>
      </c>
      <c r="G84" s="1887" t="s">
        <v>618</v>
      </c>
      <c r="H84" s="983"/>
      <c r="I84" s="583"/>
      <c r="J84" s="295" t="str">
        <f>FHD_NOTE_P_46</f>
        <v/>
      </c>
      <c r="K84" s="740"/>
      <c r="L84" s="741"/>
      <c r="M84" s="741"/>
      <c r="R84" s="741"/>
      <c r="U84" s="742"/>
      <c r="AA84" s="743"/>
      <c r="AB84" s="743"/>
      <c r="AC84" s="743"/>
      <c r="AD84" s="743"/>
      <c r="AE84" s="743"/>
      <c r="AF84" s="916">
        <v>0</v>
      </c>
    </row>
    <row s="1372" customFormat="1" customHeight="1" ht="18.75">
      <c r="A85" s="2377"/>
      <c r="C85" s="741"/>
      <c r="D85" s="739"/>
      <c r="E85" s="552" t="str">
        <f>FHD_NUM_P_47</f>
        <v>10</v>
      </c>
      <c r="F85" s="1886" t="str">
        <f>FHD_P_47</f>
        <v>Объём отпущенной потребителям воды, в том числе:</v>
      </c>
      <c r="G85" s="1887" t="s">
        <v>618</v>
      </c>
      <c r="H85" s="983"/>
      <c r="I85" s="583"/>
      <c r="J85" s="295" t="str">
        <f>FHD_NOTE_P_47</f>
        <v>Указывается общий объем отпущенной потребителям воды.</v>
      </c>
      <c r="K85" s="740"/>
      <c r="L85" s="741"/>
      <c r="M85" s="741"/>
      <c r="R85" s="741"/>
      <c r="U85" s="742"/>
      <c r="AA85" s="743"/>
      <c r="AB85" s="743"/>
      <c r="AC85" s="743"/>
      <c r="AD85" s="743"/>
      <c r="AE85" s="743"/>
      <c r="AF85" s="916">
        <v>0</v>
      </c>
    </row>
    <row s="1641" customFormat="1" customHeight="1" ht="18.75">
      <c r="A86" s="2377"/>
      <c r="B86" s="916"/>
      <c r="C86" s="741"/>
      <c r="D86" s="739"/>
      <c r="E86" s="552" t="str">
        <f>FHD_NUM_P_48</f>
        <v>10.1</v>
      </c>
      <c r="F86" s="1886" t="str">
        <f>FHD_P_48</f>
        <v>Объём отпущенной потребителям воды, определенный по приборам учета</v>
      </c>
      <c r="G86" s="1887" t="s">
        <v>618</v>
      </c>
      <c r="H86" s="983"/>
      <c r="I86" s="583"/>
      <c r="J86" s="295" t="str">
        <f>FHD_NOTE_P_48</f>
        <v/>
      </c>
      <c r="K86" s="740"/>
      <c r="L86" s="741"/>
      <c r="M86" s="741"/>
      <c r="N86" s="916"/>
      <c r="O86" s="916"/>
      <c r="P86" s="916"/>
      <c r="Q86" s="916"/>
      <c r="R86" s="741"/>
      <c r="S86" s="916"/>
      <c r="T86" s="916"/>
      <c r="U86" s="742"/>
      <c r="V86" s="916"/>
      <c r="W86" s="916"/>
      <c r="X86" s="916"/>
      <c r="Y86" s="916"/>
      <c r="Z86" s="916"/>
      <c r="AA86" s="743"/>
      <c r="AB86" s="743"/>
      <c r="AC86" s="743"/>
      <c r="AD86" s="743"/>
      <c r="AE86" s="743"/>
      <c r="AF86" s="745">
        <v>0</v>
      </c>
    </row>
    <row s="1641" customFormat="1" customHeight="1" ht="18.75">
      <c r="A87" s="2377"/>
      <c r="B87" s="916"/>
      <c r="C87" s="741"/>
      <c r="D87" s="739"/>
      <c r="E87" s="552" t="str">
        <f>FHD_NUM_P_49</f>
        <v>10.2</v>
      </c>
      <c r="F87" s="1886" t="str">
        <f>FHD_P_49</f>
        <v>Объём отпущенной потребителям воды, определенный расчетным способом</v>
      </c>
      <c r="G87" s="1887" t="s">
        <v>618</v>
      </c>
      <c r="H87" s="984">
        <f>SUM(H88:H89)</f>
        <v>0</v>
      </c>
      <c r="I87" s="755">
        <f>SUM(I88:I89)</f>
        <v>0</v>
      </c>
      <c r="J87" s="295" t="str">
        <f>FHD_NOTE_P_49</f>
        <v/>
      </c>
      <c r="K87" s="740"/>
      <c r="L87" s="741"/>
      <c r="M87" s="741"/>
      <c r="N87" s="916"/>
      <c r="O87" s="916"/>
      <c r="P87" s="916"/>
      <c r="Q87" s="916"/>
      <c r="R87" s="741"/>
      <c r="S87" s="916"/>
      <c r="T87" s="916"/>
      <c r="U87" s="742"/>
      <c r="V87" s="916"/>
      <c r="W87" s="916"/>
      <c r="X87" s="916"/>
      <c r="Y87" s="916"/>
      <c r="Z87" s="916"/>
      <c r="AA87" s="743"/>
      <c r="AB87" s="743"/>
      <c r="AC87" s="743"/>
      <c r="AD87" s="743"/>
      <c r="AE87" s="743"/>
      <c r="AF87" s="745">
        <v>0</v>
      </c>
    </row>
    <row s="1641" customFormat="1" customHeight="1" ht="18.75">
      <c r="A88" s="2377"/>
      <c r="B88" s="916"/>
      <c r="C88" s="741"/>
      <c r="D88" s="739"/>
      <c r="E88" s="552" t="str">
        <f>FHD_NUM_P_50</f>
        <v>10.2.1</v>
      </c>
      <c r="F88" s="1886" t="str">
        <f>FHD_P_50</f>
        <v>Объём отпущенной потребителям воды, определенный по нормативам потребления коммунальных услуг</v>
      </c>
      <c r="G88" s="1887" t="s">
        <v>618</v>
      </c>
      <c r="H88" s="983"/>
      <c r="I88" s="583"/>
      <c r="J88" s="295" t="str">
        <f>FHD_NOTE_P_50</f>
        <v/>
      </c>
      <c r="K88" s="740"/>
      <c r="L88" s="741"/>
      <c r="M88" s="741"/>
      <c r="N88" s="916"/>
      <c r="O88" s="916"/>
      <c r="P88" s="916"/>
      <c r="Q88" s="916"/>
      <c r="R88" s="741"/>
      <c r="S88" s="916"/>
      <c r="T88" s="916"/>
      <c r="U88" s="742"/>
      <c r="V88" s="916"/>
      <c r="W88" s="916"/>
      <c r="X88" s="916"/>
      <c r="Y88" s="916"/>
      <c r="Z88" s="916"/>
      <c r="AA88" s="743"/>
      <c r="AB88" s="743"/>
      <c r="AC88" s="743"/>
      <c r="AD88" s="743"/>
      <c r="AE88" s="743"/>
      <c r="AF88" s="745">
        <v>0</v>
      </c>
    </row>
    <row s="1641" customFormat="1" customHeight="1" ht="18.75">
      <c r="A89" s="2377"/>
      <c r="B89" s="916"/>
      <c r="C89" s="741"/>
      <c r="D89" s="739"/>
      <c r="E89" s="552" t="str">
        <f>FHD_NUM_P_51</f>
        <v>10.2.2</v>
      </c>
      <c r="F89" s="1886" t="str">
        <f>FHD_P_51</f>
        <v>Объём отпущенной потребителям воды, определенный по нормативам потребления коммунальных ресурсов </v>
      </c>
      <c r="G89" s="1887" t="s">
        <v>618</v>
      </c>
      <c r="H89" s="983"/>
      <c r="I89" s="583"/>
      <c r="J89" s="295" t="str">
        <f>FHD_NOTE_P_51</f>
        <v/>
      </c>
      <c r="K89" s="740"/>
      <c r="L89" s="741"/>
      <c r="M89" s="741"/>
      <c r="N89" s="916"/>
      <c r="O89" s="916"/>
      <c r="P89" s="916"/>
      <c r="Q89" s="916"/>
      <c r="R89" s="741"/>
      <c r="S89" s="916"/>
      <c r="T89" s="916"/>
      <c r="U89" s="742"/>
      <c r="V89" s="916"/>
      <c r="W89" s="916"/>
      <c r="X89" s="916"/>
      <c r="Y89" s="916"/>
      <c r="Z89" s="916"/>
      <c r="AA89" s="743"/>
      <c r="AB89" s="743"/>
      <c r="AC89" s="743"/>
      <c r="AD89" s="743"/>
      <c r="AE89" s="743"/>
      <c r="AF89" s="745">
        <v>0</v>
      </c>
    </row>
    <row s="1641" customFormat="1" customHeight="1" ht="18.75">
      <c r="A90" s="2377"/>
      <c r="B90" s="916"/>
      <c r="C90" s="741"/>
      <c r="D90" s="739"/>
      <c r="E90" s="552" t="str">
        <f>FHD_NUM_P_52</f>
        <v>11</v>
      </c>
      <c r="F90" s="1886" t="str">
        <f>FHD_P_52</f>
        <v>Потери воды в сетях</v>
      </c>
      <c r="G90" s="1887" t="s">
        <v>595</v>
      </c>
      <c r="H90" s="982"/>
      <c r="I90" s="563"/>
      <c r="J90" s="295" t="str">
        <f>FHD_NOTE_P_52</f>
        <v/>
      </c>
      <c r="K90" s="740"/>
      <c r="L90" s="741"/>
      <c r="M90" s="741"/>
      <c r="N90" s="916"/>
      <c r="O90" s="916"/>
      <c r="P90" s="916"/>
      <c r="Q90" s="916"/>
      <c r="R90" s="741"/>
      <c r="S90" s="916"/>
      <c r="T90" s="916"/>
      <c r="U90" s="742"/>
      <c r="V90" s="916"/>
      <c r="W90" s="916"/>
      <c r="X90" s="916"/>
      <c r="Y90" s="916"/>
      <c r="Z90" s="916"/>
      <c r="AA90" s="743"/>
      <c r="AB90" s="743"/>
      <c r="AC90" s="743"/>
      <c r="AD90" s="743"/>
      <c r="AE90" s="743"/>
      <c r="AF90" s="745">
        <v>0</v>
      </c>
    </row>
    <row s="1372" customFormat="1" customHeight="1" ht="18.75" hidden="1">
      <c r="A91" s="2379" t="s">
        <v>619</v>
      </c>
      <c r="C91" s="741"/>
      <c r="D91" s="739"/>
      <c r="E91" s="552" t="str">
        <f>FHD_NUM_P_53</f>
        <v/>
      </c>
      <c r="F91" s="1886" t="str">
        <f>FHD_P_53</f>
        <v/>
      </c>
      <c r="G91" s="1887" t="s">
        <v>618</v>
      </c>
      <c r="H91" s="983"/>
      <c r="I91" s="583"/>
      <c r="J91" s="295" t="str">
        <f>FHD_NOTE_P_53</f>
        <v/>
      </c>
      <c r="K91" s="740"/>
      <c r="L91" s="741"/>
      <c r="M91" s="741"/>
      <c r="R91" s="741"/>
      <c r="U91" s="742"/>
      <c r="AA91" s="743"/>
      <c r="AB91" s="743"/>
      <c r="AC91" s="743"/>
      <c r="AD91" s="743"/>
      <c r="AE91" s="743"/>
      <c r="AF91" s="916">
        <v>0</v>
      </c>
    </row>
    <row s="1372" customFormat="1" customHeight="1" ht="18.75" hidden="1">
      <c r="A92" s="2379"/>
      <c r="C92" s="741"/>
      <c r="D92" s="739"/>
      <c r="E92" s="552" t="str">
        <f>FHD_NUM_P_54</f>
        <v/>
      </c>
      <c r="F92" s="1886" t="str">
        <f>FHD_P_54</f>
        <v/>
      </c>
      <c r="G92" s="1887" t="s">
        <v>618</v>
      </c>
      <c r="H92" s="983"/>
      <c r="I92" s="583"/>
      <c r="J92" s="295" t="str">
        <f>FHD_NOTE_P_54</f>
        <v/>
      </c>
      <c r="K92" s="740"/>
      <c r="L92" s="741"/>
      <c r="M92" s="741"/>
      <c r="R92" s="741"/>
      <c r="U92" s="742"/>
      <c r="AA92" s="743"/>
      <c r="AB92" s="743"/>
      <c r="AC92" s="743"/>
      <c r="AD92" s="743"/>
      <c r="AE92" s="743"/>
      <c r="AF92" s="916">
        <v>0</v>
      </c>
    </row>
    <row s="1372" customFormat="1" customHeight="1" ht="18.75" hidden="1">
      <c r="A93" s="2379"/>
      <c r="C93" s="741"/>
      <c r="D93" s="744"/>
      <c r="E93" s="552" t="str">
        <f>FHD_NUM_P_55</f>
        <v/>
      </c>
      <c r="F93" s="1886" t="str">
        <f>FHD_P_55</f>
        <v/>
      </c>
      <c r="G93" s="1890"/>
      <c r="H93" s="983"/>
      <c r="I93" s="583"/>
      <c r="J93" s="295" t="str">
        <f>FHD_NOTE_P_55</f>
        <v/>
      </c>
      <c r="K93" s="740"/>
      <c r="L93" s="741"/>
      <c r="M93" s="741"/>
      <c r="R93" s="741"/>
      <c r="U93" s="742"/>
      <c r="AA93" s="743"/>
      <c r="AB93" s="743"/>
      <c r="AC93" s="743"/>
      <c r="AD93" s="743"/>
      <c r="AE93" s="743"/>
      <c r="AF93" s="916">
        <v>0</v>
      </c>
    </row>
    <row s="1372" customFormat="1" customHeight="1" ht="18.75" hidden="1">
      <c r="A94" s="2379"/>
      <c r="C94" s="741"/>
      <c r="D94" s="739"/>
      <c r="E94" s="552" t="str">
        <f>FHD_NUM_P_56</f>
        <v/>
      </c>
      <c r="F94" s="1886" t="str">
        <f>FHD_P_56</f>
        <v/>
      </c>
      <c r="G94" s="1887" t="s">
        <v>620</v>
      </c>
      <c r="H94" s="983"/>
      <c r="I94" s="583"/>
      <c r="J94" s="295" t="str">
        <f>FHD_NOTE_P_56</f>
        <v/>
      </c>
      <c r="K94" s="740"/>
      <c r="L94" s="741"/>
      <c r="M94" s="741"/>
      <c r="R94" s="741"/>
      <c r="U94" s="742"/>
      <c r="AA94" s="743"/>
      <c r="AB94" s="743"/>
      <c r="AC94" s="743"/>
      <c r="AD94" s="743"/>
      <c r="AE94" s="743"/>
      <c r="AF94" s="916">
        <v>0</v>
      </c>
    </row>
    <row s="1641" customFormat="1" customHeight="1" ht="18.75" hidden="1">
      <c r="A95" s="2379"/>
      <c r="B95" s="916"/>
      <c r="C95" s="741"/>
      <c r="D95" s="739"/>
      <c r="E95" s="552" t="str">
        <f>FHD_NUM_P_57</f>
        <v/>
      </c>
      <c r="F95" s="1886" t="str">
        <f>FHD_P_57</f>
        <v/>
      </c>
      <c r="G95" s="1887" t="s">
        <v>595</v>
      </c>
      <c r="H95" s="982"/>
      <c r="I95" s="563"/>
      <c r="J95" s="295" t="str">
        <f>FHD_NOTE_P_57</f>
        <v/>
      </c>
      <c r="K95" s="740"/>
      <c r="L95" s="741"/>
      <c r="M95" s="741"/>
      <c r="N95" s="916"/>
      <c r="O95" s="916"/>
      <c r="P95" s="916"/>
      <c r="Q95" s="916"/>
      <c r="R95" s="741"/>
      <c r="S95" s="916"/>
      <c r="T95" s="916"/>
      <c r="U95" s="742"/>
      <c r="V95" s="916"/>
      <c r="W95" s="916"/>
      <c r="X95" s="916"/>
      <c r="Y95" s="916"/>
      <c r="Z95" s="916"/>
      <c r="AA95" s="743"/>
      <c r="AB95" s="743"/>
      <c r="AC95" s="743"/>
      <c r="AD95" s="743"/>
      <c r="AE95" s="743"/>
      <c r="AF95" s="745">
        <v>0</v>
      </c>
    </row>
    <row customHeight="1" ht="18.75" hidden="1">
      <c r="A96" s="2377" t="s">
        <v>621</v>
      </c>
      <c r="D96" s="1644"/>
      <c r="E96" s="552" t="str">
        <f>FHD_NUM_P_58</f>
        <v/>
      </c>
      <c r="F96" s="1886" t="str">
        <f>FHD_P_58</f>
        <v/>
      </c>
      <c r="G96" s="1887" t="s">
        <v>618</v>
      </c>
      <c r="H96" s="983"/>
      <c r="I96" s="583"/>
      <c r="J96" s="295" t="str">
        <f>FHD_NOTE_P_58</f>
        <v/>
      </c>
      <c r="K96" s="549"/>
      <c r="AF96" s="1637">
        <v>0</v>
      </c>
    </row>
    <row customHeight="1" ht="18.75" hidden="1">
      <c r="A97" s="2377"/>
      <c r="D97" s="1644"/>
      <c r="E97" s="552" t="str">
        <f>FHD_NUM_P_59</f>
        <v/>
      </c>
      <c r="F97" s="1886" t="str">
        <f>FHD_P_59</f>
        <v/>
      </c>
      <c r="G97" s="1887" t="s">
        <v>618</v>
      </c>
      <c r="H97" s="983"/>
      <c r="I97" s="583"/>
      <c r="J97" s="295" t="str">
        <f>FHD_NOTE_P_59</f>
        <v/>
      </c>
      <c r="K97" s="549"/>
      <c r="AF97" s="1637">
        <v>0</v>
      </c>
    </row>
    <row customHeight="1" ht="18.75" hidden="1">
      <c r="A98" s="2377"/>
      <c r="D98" s="1644"/>
      <c r="E98" s="552" t="str">
        <f>FHD_NUM_P_60</f>
        <v/>
      </c>
      <c r="F98" s="1886" t="str">
        <f>FHD_P_60</f>
        <v/>
      </c>
      <c r="G98" s="1887" t="s">
        <v>618</v>
      </c>
      <c r="H98" s="983"/>
      <c r="I98" s="583"/>
      <c r="J98" s="295" t="str">
        <f>FHD_NOTE_P_60</f>
        <v/>
      </c>
      <c r="K98" s="549"/>
      <c r="AF98" s="1637">
        <v>0</v>
      </c>
    </row>
    <row s="1372" customFormat="1" customHeight="1" ht="18.75" hidden="1">
      <c r="A99" s="2377" t="s">
        <v>622</v>
      </c>
      <c r="C99" s="1642"/>
      <c r="D99" s="1644"/>
      <c r="E99" s="552" t="str">
        <f>FHD_NUM_P_61</f>
        <v/>
      </c>
      <c r="F99" s="1886" t="str">
        <f>FHD_P_61</f>
        <v/>
      </c>
      <c r="G99" s="1884" t="s">
        <v>593</v>
      </c>
      <c r="H99" s="985"/>
      <c r="I99" s="748"/>
      <c r="J99" s="295" t="str">
        <f>FHD_NOTE_P_61</f>
        <v/>
      </c>
      <c r="K99" s="549"/>
      <c r="L99" s="1642"/>
      <c r="M99" s="1642"/>
      <c r="R99" s="1642"/>
      <c r="U99" s="550"/>
      <c r="AA99" s="1638"/>
      <c r="AB99" s="1638"/>
      <c r="AC99" s="1638"/>
      <c r="AD99" s="1638"/>
      <c r="AE99" s="1638"/>
      <c r="AF99" s="1166">
        <v>0</v>
      </c>
    </row>
    <row s="1648" customFormat="1" customHeight="1" ht="0.75" hidden="1">
      <c r="A100" s="2377"/>
      <c r="D100" s="554"/>
      <c r="E100" s="1019" t="str">
        <f>E99&amp;".0"</f>
        <v>.0</v>
      </c>
      <c r="F100" s="1000"/>
      <c r="G100" s="1001"/>
      <c r="H100" s="998"/>
      <c r="I100" s="998"/>
      <c r="J100" s="1002"/>
      <c r="AF100" s="1642">
        <v>0</v>
      </c>
    </row>
    <row customHeight="1" ht="15" hidden="1">
      <c r="A101" s="2377"/>
      <c r="D101" s="1639"/>
      <c r="E101" s="977"/>
      <c r="F101" s="978" t="s">
        <v>623</v>
      </c>
      <c r="G101" s="578"/>
      <c r="H101" s="579"/>
      <c r="I101" s="579"/>
      <c r="J101" s="1010" t="s">
        <v>624</v>
      </c>
      <c r="K101" s="549"/>
      <c r="AF101" s="1637">
        <v>0</v>
      </c>
    </row>
    <row s="1372" customFormat="1" customHeight="1" ht="18.75" hidden="1">
      <c r="A102" s="2377"/>
      <c r="C102" s="1642"/>
      <c r="D102" s="1644"/>
      <c r="E102" s="552" t="str">
        <f>FHD_NUM_P_62</f>
        <v/>
      </c>
      <c r="F102" s="1886" t="str">
        <f>FHD_P_62</f>
        <v/>
      </c>
      <c r="G102" s="1883" t="s">
        <v>593</v>
      </c>
      <c r="H102" s="563"/>
      <c r="I102" s="563"/>
      <c r="J102" s="295" t="str">
        <f>FHD_NOTE_P_62</f>
        <v/>
      </c>
      <c r="K102" s="549"/>
      <c r="L102" s="1642"/>
      <c r="M102" s="1642"/>
      <c r="R102" s="1642"/>
      <c r="U102" s="550"/>
      <c r="AA102" s="1638"/>
      <c r="AB102" s="1638"/>
      <c r="AC102" s="1638"/>
      <c r="AD102" s="1638"/>
      <c r="AE102" s="1638"/>
      <c r="AF102" s="1166">
        <v>0</v>
      </c>
    </row>
    <row s="1372" customFormat="1" customHeight="1" ht="18.75" hidden="1">
      <c r="A103" s="2377"/>
      <c r="C103" s="1642"/>
      <c r="D103" s="1644"/>
      <c r="E103" s="552" t="str">
        <f>FHD_NUM_P_63</f>
        <v/>
      </c>
      <c r="F103" s="1886" t="str">
        <f>FHD_P_63</f>
        <v/>
      </c>
      <c r="G103" s="1883" t="s">
        <v>620</v>
      </c>
      <c r="H103" s="583"/>
      <c r="I103" s="583"/>
      <c r="J103" s="295" t="str">
        <f>FHD_NOTE_P_63</f>
        <v/>
      </c>
      <c r="K103" s="549"/>
      <c r="L103" s="1642"/>
      <c r="M103" s="1642"/>
      <c r="R103" s="1642"/>
      <c r="U103" s="550"/>
      <c r="AA103" s="1638"/>
      <c r="AB103" s="1638"/>
      <c r="AC103" s="1638"/>
      <c r="AD103" s="1638"/>
      <c r="AE103" s="1638"/>
      <c r="AF103" s="1166">
        <v>0</v>
      </c>
    </row>
    <row s="1372" customFormat="1" customHeight="1" ht="18.75" hidden="1">
      <c r="A104" s="2377"/>
      <c r="C104" s="1642" t="s">
        <v>625</v>
      </c>
      <c r="D104" s="1644"/>
      <c r="E104" s="552" t="str">
        <f>FHD_NUM_P_64</f>
        <v/>
      </c>
      <c r="F104" s="1886" t="str">
        <f>FHD_P_64</f>
        <v/>
      </c>
      <c r="G104" s="1883" t="s">
        <v>620</v>
      </c>
      <c r="H104" s="551"/>
      <c r="I104" s="551"/>
      <c r="J104" s="295" t="str">
        <f>FHD_NOTE_P_64</f>
        <v/>
      </c>
      <c r="K104" s="549"/>
      <c r="L104" s="1642"/>
      <c r="M104" s="1642"/>
      <c r="R104" s="1642"/>
      <c r="U104" s="550"/>
      <c r="AA104" s="1638"/>
      <c r="AB104" s="1638"/>
      <c r="AC104" s="1638"/>
      <c r="AD104" s="1638"/>
      <c r="AE104" s="1638"/>
      <c r="AF104" s="1166">
        <v>0</v>
      </c>
    </row>
    <row s="1372" customFormat="1" customHeight="1" ht="18.75" hidden="1">
      <c r="A105" s="2377"/>
      <c r="C105" s="1642"/>
      <c r="D105" s="1644"/>
      <c r="E105" s="552" t="str">
        <f>FHD_NUM_P_65</f>
        <v/>
      </c>
      <c r="F105" s="1886" t="str">
        <f>FHD_P_65</f>
        <v/>
      </c>
      <c r="G105" s="1883" t="s">
        <v>620</v>
      </c>
      <c r="H105" s="583"/>
      <c r="I105" s="583"/>
      <c r="J105" s="295" t="str">
        <f>FHD_NOTE_P_65</f>
        <v/>
      </c>
      <c r="K105" s="549"/>
      <c r="L105" s="1642"/>
      <c r="M105" s="1642"/>
      <c r="R105" s="1642"/>
      <c r="U105" s="550"/>
      <c r="AA105" s="1638"/>
      <c r="AB105" s="1638"/>
      <c r="AC105" s="1638"/>
      <c r="AD105" s="1638"/>
      <c r="AE105" s="1638"/>
      <c r="AF105" s="1166">
        <v>0</v>
      </c>
    </row>
    <row s="1372" customFormat="1" customHeight="1" ht="18.75" hidden="1">
      <c r="A106" s="2377"/>
      <c r="C106" s="1642"/>
      <c r="D106" s="1644"/>
      <c r="E106" s="552" t="str">
        <f>FHD_NUM_P_66</f>
        <v/>
      </c>
      <c r="F106" s="1530" t="str">
        <f>FHD_P_66</f>
        <v/>
      </c>
      <c r="G106" s="1883" t="s">
        <v>620</v>
      </c>
      <c r="H106" s="583"/>
      <c r="I106" s="583"/>
      <c r="J106" s="295" t="str">
        <f>FHD_NOTE_P_66</f>
        <v/>
      </c>
      <c r="K106" s="549"/>
      <c r="L106" s="1642"/>
      <c r="M106" s="1642"/>
      <c r="R106" s="1642"/>
      <c r="U106" s="550"/>
      <c r="AA106" s="1638"/>
      <c r="AB106" s="1638"/>
      <c r="AC106" s="1638"/>
      <c r="AD106" s="1638"/>
      <c r="AE106" s="1638"/>
      <c r="AF106" s="1166">
        <v>0</v>
      </c>
    </row>
    <row s="1372" customFormat="1" customHeight="1" ht="18.75" hidden="1">
      <c r="A107" s="2377"/>
      <c r="C107" s="1642"/>
      <c r="D107" s="1644"/>
      <c r="E107" s="552" t="str">
        <f>FHD_NUM_P_67</f>
        <v/>
      </c>
      <c r="F107" s="1656" t="str">
        <f>FHD_P_67</f>
        <v/>
      </c>
      <c r="G107" s="1883" t="s">
        <v>620</v>
      </c>
      <c r="H107" s="583"/>
      <c r="I107" s="583"/>
      <c r="J107" s="295" t="str">
        <f>FHD_NOTE_P_67</f>
        <v/>
      </c>
      <c r="K107" s="549"/>
      <c r="L107" s="1642"/>
      <c r="M107" s="1642"/>
      <c r="R107" s="1642"/>
      <c r="U107" s="550"/>
      <c r="AA107" s="1638"/>
      <c r="AB107" s="1638"/>
      <c r="AC107" s="1638"/>
      <c r="AD107" s="1638"/>
      <c r="AE107" s="1638"/>
      <c r="AF107" s="1166">
        <v>0</v>
      </c>
    </row>
    <row s="1372" customFormat="1" customHeight="1" ht="18.75" hidden="1">
      <c r="A108" s="2377"/>
      <c r="C108" s="1642"/>
      <c r="D108" s="1644"/>
      <c r="E108" s="552" t="str">
        <f>FHD_NUM_P_68</f>
        <v/>
      </c>
      <c r="F108" s="1530" t="str">
        <f>FHD_P_68</f>
        <v/>
      </c>
      <c r="G108" s="1883" t="s">
        <v>620</v>
      </c>
      <c r="H108" s="583"/>
      <c r="I108" s="583"/>
      <c r="J108" s="295" t="str">
        <f>FHD_NOTE_P_68</f>
        <v/>
      </c>
      <c r="K108" s="549"/>
      <c r="L108" s="1642"/>
      <c r="M108" s="1642"/>
      <c r="R108" s="1642"/>
      <c r="U108" s="550"/>
      <c r="AA108" s="1638"/>
      <c r="AB108" s="1638"/>
      <c r="AC108" s="1638"/>
      <c r="AD108" s="1638"/>
      <c r="AE108" s="1638"/>
      <c r="AF108" s="1166">
        <v>0</v>
      </c>
    </row>
    <row s="1372" customFormat="1" customHeight="1" ht="18.75" hidden="1">
      <c r="A109" s="2377"/>
      <c r="C109" s="1642"/>
      <c r="D109" s="1644"/>
      <c r="E109" s="552" t="str">
        <f>FHD_NUM_P_69</f>
        <v/>
      </c>
      <c r="F109" s="1530" t="str">
        <f>FHD_P_69</f>
        <v/>
      </c>
      <c r="G109" s="1883" t="s">
        <v>620</v>
      </c>
      <c r="H109" s="583"/>
      <c r="I109" s="583"/>
      <c r="J109" s="295" t="str">
        <f>FHD_NOTE_P_69</f>
        <v/>
      </c>
      <c r="K109" s="549"/>
      <c r="L109" s="1642"/>
      <c r="M109" s="1642"/>
      <c r="R109" s="1642"/>
      <c r="U109" s="550"/>
      <c r="AA109" s="1638"/>
      <c r="AB109" s="1638"/>
      <c r="AC109" s="1638"/>
      <c r="AD109" s="1638"/>
      <c r="AE109" s="1638"/>
      <c r="AF109" s="1166">
        <v>0</v>
      </c>
    </row>
    <row s="1372" customFormat="1" customHeight="1" ht="22.5" hidden="1">
      <c r="A110" s="2377"/>
      <c r="C110" s="1642"/>
      <c r="D110" s="1644"/>
      <c r="E110" s="552" t="str">
        <f>FHD_NUM_P_70</f>
        <v/>
      </c>
      <c r="F110" s="1886" t="str">
        <f>FHD_P_70</f>
        <v/>
      </c>
      <c r="G110" s="1883" t="s">
        <v>626</v>
      </c>
      <c r="H110" s="563"/>
      <c r="I110" s="563"/>
      <c r="J110" s="295" t="str">
        <f>FHD_NOTE_P_70</f>
        <v/>
      </c>
      <c r="K110" s="549"/>
      <c r="L110" s="1642"/>
      <c r="M110" s="1642"/>
      <c r="R110" s="1642"/>
      <c r="U110" s="550"/>
      <c r="AA110" s="1638"/>
      <c r="AB110" s="1638"/>
      <c r="AC110" s="1638"/>
      <c r="AD110" s="1638"/>
      <c r="AE110" s="1638"/>
      <c r="AF110" s="1166">
        <v>0</v>
      </c>
    </row>
    <row s="1372" customFormat="1" customHeight="1" ht="22.5" hidden="1">
      <c r="A111" s="2377"/>
      <c r="C111" s="1642"/>
      <c r="D111" s="1644"/>
      <c r="E111" s="552" t="str">
        <f>FHD_NUM_P_71</f>
        <v/>
      </c>
      <c r="F111" s="1886" t="str">
        <f>FHD_P_71</f>
        <v/>
      </c>
      <c r="G111" s="1883" t="s">
        <v>626</v>
      </c>
      <c r="H111" s="563"/>
      <c r="I111" s="563"/>
      <c r="J111" s="295" t="str">
        <f>FHD_NOTE_P_71</f>
        <v/>
      </c>
      <c r="K111" s="549"/>
      <c r="L111" s="1642"/>
      <c r="M111" s="1642"/>
      <c r="R111" s="1642"/>
      <c r="U111" s="550"/>
      <c r="AA111" s="1638"/>
      <c r="AB111" s="1638"/>
      <c r="AC111" s="1638"/>
      <c r="AD111" s="1638"/>
      <c r="AE111" s="1638"/>
      <c r="AF111" s="1166">
        <v>0</v>
      </c>
    </row>
    <row customHeight="1" ht="19.95">
      <c r="D112" s="1644"/>
      <c r="E112" s="552" t="str">
        <f>FHD_NUM_P_72</f>
        <v>12</v>
      </c>
      <c r="F112" s="1886" t="str">
        <f>FHD_P_72</f>
        <v>Среднесписочная численность основного производственного персонала</v>
      </c>
      <c r="G112" s="1882" t="s">
        <v>627</v>
      </c>
      <c r="H112" s="583"/>
      <c r="I112" s="583"/>
      <c r="J112" s="295" t="str">
        <f>FHD_NOTE_P_72</f>
        <v/>
      </c>
      <c r="K112" s="549"/>
      <c r="AF112" s="1637">
        <v>19</v>
      </c>
    </row>
    <row customHeight="1" ht="18.75" hidden="1">
      <c r="A113" s="995" t="s">
        <v>628</v>
      </c>
      <c r="D113" s="1644"/>
      <c r="E113" s="552" t="str">
        <f>FHD_NUM_P_73</f>
        <v/>
      </c>
      <c r="F113" s="1886" t="str">
        <f>FHD_P_73</f>
        <v/>
      </c>
      <c r="G113" s="976" t="s">
        <v>627</v>
      </c>
      <c r="H113" s="974"/>
      <c r="I113" s="974"/>
      <c r="J113" s="295" t="str">
        <f>FHD_NOTE_P_73</f>
        <v/>
      </c>
      <c r="K113" s="549"/>
      <c r="AF113" s="1637">
        <v>0</v>
      </c>
    </row>
    <row customHeight="1" ht="33.75">
      <c r="A114" s="995" t="s">
        <v>629</v>
      </c>
      <c r="D114" s="1644"/>
      <c r="E114" s="552" t="str">
        <f>FHD_NUM_P_74</f>
        <v>13</v>
      </c>
      <c r="F114" s="1886" t="str">
        <f>FHD_P_74</f>
        <v>Удельный расход электрической энергии на подачу воды в сеть</v>
      </c>
      <c r="G114" s="1882" t="s">
        <v>630</v>
      </c>
      <c r="H114" s="583"/>
      <c r="I114" s="583"/>
      <c r="J114" s="295" t="str">
        <f>FHD_NOTE_P_74</f>
        <v/>
      </c>
      <c r="K114" s="549"/>
      <c r="AF114" s="1637">
        <v>0</v>
      </c>
    </row>
    <row s="1641" customFormat="1" customHeight="1" ht="18.75">
      <c r="A115" s="2379" t="s">
        <v>631</v>
      </c>
      <c r="B115" s="916"/>
      <c r="C115" s="741"/>
      <c r="D115" s="739"/>
      <c r="E115" s="552" t="str">
        <f>FHD_NUM_P_75</f>
        <v>14</v>
      </c>
      <c r="F115" s="1886" t="str">
        <f>FHD_P_75</f>
        <v>Расход воды на собственные нужды, в том числе:</v>
      </c>
      <c r="G115" s="1882" t="s">
        <v>595</v>
      </c>
      <c r="H115" s="563"/>
      <c r="I115" s="563"/>
      <c r="J115" s="295" t="str">
        <f>FHD_NOTE_P_75</f>
        <v>Указывается доля общего расхода воды на собственные нужны от объема отпуска воды потребителям.</v>
      </c>
      <c r="K115" s="740"/>
      <c r="L115" s="741"/>
      <c r="M115" s="741"/>
      <c r="N115" s="916"/>
      <c r="O115" s="916"/>
      <c r="P115" s="916"/>
      <c r="Q115" s="916"/>
      <c r="R115" s="741"/>
      <c r="S115" s="916"/>
      <c r="T115" s="916"/>
      <c r="U115" s="742"/>
      <c r="V115" s="916"/>
      <c r="W115" s="916"/>
      <c r="X115" s="916"/>
      <c r="Y115" s="916"/>
      <c r="Z115" s="916"/>
      <c r="AA115" s="743"/>
      <c r="AB115" s="743"/>
      <c r="AC115" s="743"/>
      <c r="AD115" s="743"/>
      <c r="AE115" s="743"/>
      <c r="AF115" s="745">
        <v>0</v>
      </c>
    </row>
    <row s="1641" customFormat="1" customHeight="1" ht="18.75">
      <c r="A116" s="2379"/>
      <c r="B116" s="916"/>
      <c r="C116" s="741"/>
      <c r="D116" s="739"/>
      <c r="E116" s="552" t="str">
        <f>FHD_NUM_P_76</f>
        <v>14.1</v>
      </c>
      <c r="F116" s="1886" t="str">
        <f>FHD_P_76</f>
        <v>Расход воды на хозяйственно-бытовые нужды</v>
      </c>
      <c r="G116" s="1882" t="s">
        <v>595</v>
      </c>
      <c r="H116" s="563"/>
      <c r="I116" s="563"/>
      <c r="J116" s="295" t="str">
        <f>FHD_NOTE_P_76</f>
        <v>Указывается доля расхода воды на хозяйственно-бытовые нужны от объема отпуска воды потребителям.</v>
      </c>
      <c r="K116" s="740"/>
      <c r="L116" s="741"/>
      <c r="M116" s="741"/>
      <c r="N116" s="916"/>
      <c r="O116" s="916"/>
      <c r="P116" s="916"/>
      <c r="Q116" s="916"/>
      <c r="R116" s="741"/>
      <c r="S116" s="916"/>
      <c r="T116" s="916"/>
      <c r="U116" s="742"/>
      <c r="V116" s="916"/>
      <c r="W116" s="916"/>
      <c r="X116" s="916"/>
      <c r="Y116" s="916"/>
      <c r="Z116" s="916"/>
      <c r="AA116" s="743"/>
      <c r="AB116" s="743"/>
      <c r="AC116" s="743"/>
      <c r="AD116" s="743"/>
      <c r="AE116" s="743"/>
      <c r="AF116" s="745">
        <v>0</v>
      </c>
    </row>
    <row s="1641" customFormat="1" customHeight="1" ht="18.75">
      <c r="A117" s="2379"/>
      <c r="B117" s="916"/>
      <c r="C117" s="741"/>
      <c r="D117" s="739"/>
      <c r="E117" s="552" t="str">
        <f>FHD_NUM_P_77</f>
        <v>15</v>
      </c>
      <c r="F117" s="1886" t="str">
        <f>FHD_P_77</f>
        <v>Показатель использования производственных объектов (по объему перекачки), в том числе:</v>
      </c>
      <c r="G117" s="1882" t="s">
        <v>595</v>
      </c>
      <c r="H117" s="563"/>
      <c r="I117" s="563"/>
      <c r="J117" s="29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740"/>
      <c r="L117" s="741"/>
      <c r="M117" s="741"/>
      <c r="N117" s="916"/>
      <c r="O117" s="916"/>
      <c r="P117" s="916"/>
      <c r="Q117" s="916"/>
      <c r="R117" s="741"/>
      <c r="S117" s="916"/>
      <c r="T117" s="916"/>
      <c r="U117" s="742"/>
      <c r="V117" s="916"/>
      <c r="W117" s="916"/>
      <c r="X117" s="916"/>
      <c r="Y117" s="916"/>
      <c r="Z117" s="916"/>
      <c r="AA117" s="743"/>
      <c r="AB117" s="743"/>
      <c r="AC117" s="743"/>
      <c r="AD117" s="743"/>
      <c r="AE117" s="743"/>
      <c r="AF117" s="745">
        <v>0</v>
      </c>
    </row>
    <row s="1648" customFormat="1" customHeight="1" ht="0.75">
      <c r="A118" s="2379"/>
      <c r="D118" s="554"/>
      <c r="E118" s="1019" t="str">
        <f>E117&amp;".0"</f>
        <v>15.0</v>
      </c>
      <c r="F118" s="1003"/>
      <c r="G118" s="1657"/>
      <c r="H118" s="998"/>
      <c r="I118" s="998"/>
      <c r="J118" s="1002"/>
      <c r="AF118" s="1642">
        <v>0</v>
      </c>
    </row>
    <row s="1641" customFormat="1" customHeight="1" ht="15">
      <c r="A119" s="2379"/>
      <c r="B119" s="916"/>
      <c r="C119" s="741"/>
      <c r="D119" s="752"/>
      <c r="E119" s="979"/>
      <c r="F119" s="980" t="s">
        <v>632</v>
      </c>
      <c r="G119" s="753"/>
      <c r="H119" s="754"/>
      <c r="I119" s="754"/>
      <c r="J119" s="1009" t="s">
        <v>633</v>
      </c>
      <c r="K119" s="740"/>
      <c r="L119" s="741"/>
      <c r="M119" s="741"/>
      <c r="N119" s="916"/>
      <c r="O119" s="916"/>
      <c r="P119" s="916"/>
      <c r="Q119" s="916"/>
      <c r="R119" s="741"/>
      <c r="S119" s="916"/>
      <c r="T119" s="916"/>
      <c r="U119" s="742"/>
      <c r="V119" s="916"/>
      <c r="W119" s="916"/>
      <c r="X119" s="916"/>
      <c r="Y119" s="916"/>
      <c r="Z119" s="916"/>
      <c r="AA119" s="743"/>
      <c r="AB119" s="743"/>
      <c r="AC119" s="743"/>
      <c r="AD119" s="743"/>
      <c r="AE119" s="743"/>
      <c r="AF119" s="745">
        <v>0</v>
      </c>
    </row>
    <row customHeight="1" ht="22.5" hidden="1">
      <c r="A120" s="2377" t="s">
        <v>634</v>
      </c>
      <c r="D120" s="1644"/>
      <c r="E120" s="552" t="str">
        <f>FHD_NUM_P_78</f>
        <v/>
      </c>
      <c r="F120" s="1886" t="str">
        <f>FHD_P_78</f>
        <v/>
      </c>
      <c r="G120" s="1883" t="s">
        <v>597</v>
      </c>
      <c r="H120" s="583"/>
      <c r="I120" s="583"/>
      <c r="J120" s="295" t="str">
        <f>FHD_NOTE_P_78</f>
        <v/>
      </c>
      <c r="K120" s="549"/>
      <c r="AF120" s="1637">
        <v>0</v>
      </c>
    </row>
    <row s="1648" customFormat="1" customHeight="1" ht="0.75" hidden="1">
      <c r="A121" s="2377"/>
      <c r="D121" s="554"/>
      <c r="E121" s="1019" t="str">
        <f>E120&amp;".0"</f>
        <v>.0</v>
      </c>
      <c r="F121" s="1003"/>
      <c r="G121" s="1657"/>
      <c r="H121" s="998"/>
      <c r="I121" s="998"/>
      <c r="J121" s="1002"/>
      <c r="AF121" s="1642">
        <v>0</v>
      </c>
    </row>
    <row customHeight="1" ht="15" hidden="1">
      <c r="A122" s="2377"/>
      <c r="D122" s="1639"/>
      <c r="E122" s="576"/>
      <c r="F122" s="1174" t="s">
        <v>623</v>
      </c>
      <c r="G122" s="578"/>
      <c r="H122" s="579"/>
      <c r="I122" s="579"/>
      <c r="J122" s="1010" t="s">
        <v>635</v>
      </c>
      <c r="K122" s="549"/>
      <c r="AF122" s="1637">
        <v>0</v>
      </c>
    </row>
    <row customHeight="1" ht="22.5" hidden="1">
      <c r="A123" s="2377"/>
      <c r="D123" s="1644"/>
      <c r="E123" s="552" t="str">
        <f>FHD_NUM_P_79</f>
        <v/>
      </c>
      <c r="F123" s="1886" t="str">
        <f>FHD_P_79</f>
        <v/>
      </c>
      <c r="G123" s="1884" t="s">
        <v>599</v>
      </c>
      <c r="H123" s="583"/>
      <c r="I123" s="583"/>
      <c r="J123" s="295" t="str">
        <f>FHD_NOTE_P_79</f>
        <v/>
      </c>
      <c r="K123" s="549"/>
      <c r="AF123" s="1637">
        <v>0</v>
      </c>
    </row>
    <row s="1648" customFormat="1" customHeight="1" ht="0.75" hidden="1">
      <c r="A124" s="2377"/>
      <c r="D124" s="554"/>
      <c r="E124" s="1019" t="str">
        <f>E123&amp;".0"</f>
        <v>.0</v>
      </c>
      <c r="F124" s="1004"/>
      <c r="G124" s="1657"/>
      <c r="H124" s="998"/>
      <c r="I124" s="998"/>
      <c r="J124" s="1002"/>
      <c r="AF124" s="1642">
        <v>0</v>
      </c>
    </row>
    <row customHeight="1" ht="15" hidden="1">
      <c r="A125" s="2377"/>
      <c r="D125" s="1639"/>
      <c r="E125" s="576"/>
      <c r="F125" s="1174" t="s">
        <v>623</v>
      </c>
      <c r="G125" s="578"/>
      <c r="H125" s="579"/>
      <c r="I125" s="579"/>
      <c r="J125" s="1010" t="s">
        <v>636</v>
      </c>
      <c r="K125" s="549"/>
      <c r="AF125" s="1637">
        <v>0</v>
      </c>
    </row>
    <row customHeight="1" ht="22.5" hidden="1">
      <c r="A126" s="2377"/>
      <c r="D126" s="1644"/>
      <c r="E126" s="552" t="str">
        <f>FHD_NUM_P_80</f>
        <v/>
      </c>
      <c r="F126" s="1886" t="str">
        <f>FHD_P_80</f>
        <v/>
      </c>
      <c r="G126" s="1884" t="s">
        <v>637</v>
      </c>
      <c r="H126" s="563"/>
      <c r="I126" s="563"/>
      <c r="J126" s="295" t="str">
        <f>FHD_NOTE_P_80</f>
        <v/>
      </c>
      <c r="K126" s="549"/>
      <c r="AF126" s="1637">
        <v>0</v>
      </c>
    </row>
    <row customHeight="1" ht="18.75" hidden="1">
      <c r="A127" s="2377"/>
      <c r="D127" s="1644"/>
      <c r="E127" s="552" t="str">
        <f>FHD_NUM_P_81</f>
        <v/>
      </c>
      <c r="F127" s="1886" t="str">
        <f>FHD_P_81</f>
        <v/>
      </c>
      <c r="G127" s="1884" t="s">
        <v>638</v>
      </c>
      <c r="H127" s="563"/>
      <c r="I127" s="563"/>
      <c r="J127" s="295" t="str">
        <f>FHD_NOTE_P_81</f>
        <v/>
      </c>
      <c r="K127" s="549"/>
      <c r="AF127" s="1637">
        <v>0</v>
      </c>
    </row>
    <row customHeight="1" ht="18.75" hidden="1">
      <c r="A128" s="2377"/>
      <c r="C128" s="1642" t="s">
        <v>625</v>
      </c>
      <c r="D128" s="1644"/>
      <c r="E128" s="552" t="str">
        <f>FHD_NUM_P_82</f>
        <v/>
      </c>
      <c r="F128" s="1886" t="str">
        <f>FHD_P_82</f>
        <v/>
      </c>
      <c r="G128" s="1884" t="s">
        <v>322</v>
      </c>
      <c r="H128" s="407"/>
      <c r="I128" s="407"/>
      <c r="J128" s="295" t="str">
        <f>FHD_NOTE_P_82</f>
        <v/>
      </c>
      <c r="K128" s="549"/>
      <c r="AF128" s="1637">
        <v>0</v>
      </c>
    </row>
    <row customHeight="1" ht="18.75" hidden="1">
      <c r="A129" s="2377"/>
      <c r="C129" s="1642" t="s">
        <v>625</v>
      </c>
      <c r="D129" s="1644"/>
      <c r="E129" s="552" t="str">
        <f>FHD_NUM_P_83</f>
        <v/>
      </c>
      <c r="F129" s="1530" t="str">
        <f>FHD_P_83</f>
        <v/>
      </c>
      <c r="G129" s="1884" t="s">
        <v>322</v>
      </c>
      <c r="H129" s="407"/>
      <c r="I129" s="407"/>
      <c r="J129" s="295" t="str">
        <f>FHD_NOTE_P_83</f>
        <v/>
      </c>
      <c r="K129" s="549"/>
      <c r="AF129" s="1637">
        <v>0</v>
      </c>
    </row>
    <row customHeight="1" ht="18.75" hidden="1">
      <c r="A130" s="2377"/>
      <c r="C130" s="1642" t="s">
        <v>625</v>
      </c>
      <c r="D130" s="1644"/>
      <c r="E130" s="552" t="str">
        <f>FHD_NUM_P_84</f>
        <v/>
      </c>
      <c r="F130" s="1530" t="str">
        <f>FHD_P_84</f>
        <v/>
      </c>
      <c r="G130" s="1884" t="s">
        <v>322</v>
      </c>
      <c r="H130" s="407"/>
      <c r="I130" s="407"/>
      <c r="J130" s="295" t="str">
        <f>FHD_NOTE_P_84</f>
        <v/>
      </c>
      <c r="K130" s="549"/>
      <c r="AF130" s="1637">
        <v>0</v>
      </c>
    </row>
    <row customHeight="1" ht="11.549999999999999">
      <c r="D131" s="1644"/>
      <c r="AF131" s="1637">
        <v>11</v>
      </c>
    </row>
    <row customHeight="1" ht="13.5">
      <c r="D132" s="1644"/>
      <c r="E132" s="342"/>
      <c r="F132" s="375"/>
      <c r="G132" s="375"/>
      <c r="H132" s="375"/>
      <c r="I132" s="1653"/>
      <c r="J132" s="587"/>
      <c r="AF132" s="1637">
        <v>13</v>
      </c>
    </row>
    <row s="1647" customFormat="1" customHeight="1" ht="11.549999999999999">
      <c r="A133" s="993"/>
      <c r="B133" s="1642"/>
      <c r="C133" s="1642"/>
      <c r="D133" s="357"/>
      <c r="F133" s="1646"/>
      <c r="G133" s="1637"/>
      <c r="H133" s="1637"/>
      <c r="I133" s="1637"/>
      <c r="K133" s="1166"/>
      <c r="L133" s="1642"/>
      <c r="M133" s="1642"/>
      <c r="N133" s="1166"/>
      <c r="O133" s="1166"/>
      <c r="P133" s="1166"/>
      <c r="Q133" s="1166"/>
      <c r="R133" s="1642"/>
      <c r="S133" s="1166"/>
      <c r="T133" s="1166"/>
      <c r="U133" s="550"/>
      <c r="V133" s="1166"/>
      <c r="W133" s="1166"/>
      <c r="X133" s="1166"/>
      <c r="Y133" s="1166"/>
      <c r="Z133" s="1166"/>
      <c r="AA133" s="1638"/>
      <c r="AB133" s="572"/>
      <c r="AC133" s="572"/>
      <c r="AD133" s="572"/>
      <c r="AE133" s="572"/>
      <c r="AF133" s="1647">
        <v>11</v>
      </c>
    </row>
    <row s="1647" customFormat="1" customHeight="1" ht="11.549999999999999">
      <c r="A134" s="993"/>
      <c r="B134" s="1642"/>
      <c r="C134" s="1642"/>
      <c r="D134" s="357"/>
      <c r="K134" s="1166"/>
      <c r="L134" s="1642"/>
      <c r="M134" s="1642"/>
      <c r="N134" s="1166"/>
      <c r="O134" s="1166"/>
      <c r="P134" s="1166"/>
      <c r="Q134" s="1166"/>
      <c r="R134" s="1642"/>
      <c r="S134" s="1166"/>
      <c r="T134" s="1166"/>
      <c r="U134" s="550"/>
      <c r="V134" s="1166"/>
      <c r="W134" s="1166"/>
      <c r="X134" s="1166"/>
      <c r="Y134" s="1166"/>
      <c r="Z134" s="1166"/>
      <c r="AA134" s="1638"/>
      <c r="AB134" s="572"/>
      <c r="AC134" s="572"/>
      <c r="AD134" s="572"/>
      <c r="AE134" s="572"/>
      <c r="AF134" s="1647">
        <v>11</v>
      </c>
    </row>
    <row s="1647" customFormat="1" customHeight="1" ht="11.549999999999999">
      <c r="A135" s="993"/>
      <c r="B135" s="1642"/>
      <c r="C135" s="1642"/>
      <c r="D135" s="357"/>
      <c r="K135" s="1166"/>
      <c r="L135" s="1642"/>
      <c r="M135" s="1642"/>
      <c r="N135" s="1166"/>
      <c r="O135" s="1166"/>
      <c r="P135" s="1166"/>
      <c r="Q135" s="1166"/>
      <c r="R135" s="1642"/>
      <c r="S135" s="1166"/>
      <c r="T135" s="1166"/>
      <c r="U135" s="550"/>
      <c r="V135" s="1166"/>
      <c r="W135" s="1166"/>
      <c r="X135" s="1166"/>
      <c r="Y135" s="1166"/>
      <c r="Z135" s="1166"/>
      <c r="AA135" s="1638"/>
      <c r="AB135" s="572"/>
      <c r="AC135" s="572"/>
      <c r="AD135" s="572"/>
      <c r="AE135" s="572"/>
      <c r="AF135" s="1647">
        <v>11</v>
      </c>
    </row>
    <row s="1647" customFormat="1" customHeight="1" ht="11.549999999999999">
      <c r="A136" s="993"/>
      <c r="B136" s="1642"/>
      <c r="C136" s="1642"/>
      <c r="D136" s="357"/>
      <c r="H136" s="572" t="str">
        <f>IF(H30-H31&lt;&gt;H72,"WARNING","")</f>
        <v/>
      </c>
      <c r="I136" s="572" t="str">
        <f>IF(I30-I31&lt;&gt;I72,"WARNING","")</f>
        <v/>
      </c>
      <c r="K136" s="1166"/>
      <c r="L136" s="1642"/>
      <c r="M136" s="1642"/>
      <c r="N136" s="1166"/>
      <c r="O136" s="1166"/>
      <c r="P136" s="1166"/>
      <c r="Q136" s="1166"/>
      <c r="R136" s="1642"/>
      <c r="S136" s="1166"/>
      <c r="T136" s="1166"/>
      <c r="U136" s="550"/>
      <c r="V136" s="1166"/>
      <c r="W136" s="1166"/>
      <c r="X136" s="1166"/>
      <c r="Y136" s="1166"/>
      <c r="Z136" s="1166"/>
      <c r="AA136" s="1638"/>
      <c r="AB136" s="572"/>
      <c r="AC136" s="572"/>
      <c r="AD136" s="572"/>
      <c r="AE136" s="572"/>
      <c r="AF136" s="1647">
        <v>11</v>
      </c>
    </row>
    <row s="1647" customFormat="1" customHeight="1" ht="11.549999999999999">
      <c r="A137" s="993"/>
      <c r="B137" s="1642"/>
      <c r="C137" s="1642"/>
      <c r="D137" s="357"/>
      <c r="K137" s="1166"/>
      <c r="L137" s="1642"/>
      <c r="M137" s="1642"/>
      <c r="N137" s="1166"/>
      <c r="O137" s="1166"/>
      <c r="P137" s="1166"/>
      <c r="Q137" s="1166"/>
      <c r="R137" s="1642"/>
      <c r="S137" s="1166"/>
      <c r="T137" s="1166"/>
      <c r="U137" s="550"/>
      <c r="V137" s="1166"/>
      <c r="W137" s="1166"/>
      <c r="X137" s="1166"/>
      <c r="Y137" s="1166"/>
      <c r="Z137" s="1166"/>
      <c r="AA137" s="1638"/>
      <c r="AB137" s="572"/>
      <c r="AC137" s="572"/>
      <c r="AD137" s="572"/>
      <c r="AE137" s="572"/>
      <c r="AF137" s="1647">
        <v>11</v>
      </c>
    </row>
    <row s="1647" customFormat="1" customHeight="1" ht="11.549999999999999">
      <c r="A138" s="993"/>
      <c r="B138" s="1642"/>
      <c r="C138" s="1642"/>
      <c r="D138" s="357"/>
      <c r="K138" s="1166"/>
      <c r="L138" s="1642"/>
      <c r="M138" s="1642"/>
      <c r="N138" s="1166"/>
      <c r="O138" s="1166"/>
      <c r="P138" s="1166"/>
      <c r="Q138" s="1166"/>
      <c r="R138" s="1642"/>
      <c r="S138" s="1166"/>
      <c r="T138" s="1166"/>
      <c r="U138" s="550"/>
      <c r="V138" s="1166"/>
      <c r="W138" s="1166"/>
      <c r="X138" s="1166"/>
      <c r="Y138" s="1166"/>
      <c r="Z138" s="1166"/>
      <c r="AA138" s="1638"/>
      <c r="AB138" s="572"/>
      <c r="AC138" s="572"/>
      <c r="AD138" s="572"/>
      <c r="AE138" s="572"/>
      <c r="AF138" s="1647">
        <v>11</v>
      </c>
    </row>
    <row s="1647" customFormat="1" customHeight="1" ht="11.549999999999999">
      <c r="A139" s="993"/>
      <c r="B139" s="1642"/>
      <c r="C139" s="1642"/>
      <c r="D139" s="357"/>
      <c r="K139" s="1166"/>
      <c r="L139" s="1642"/>
      <c r="M139" s="1642"/>
      <c r="N139" s="1166"/>
      <c r="O139" s="1166"/>
      <c r="P139" s="1166"/>
      <c r="Q139" s="1166"/>
      <c r="R139" s="1642"/>
      <c r="S139" s="1166"/>
      <c r="T139" s="1166"/>
      <c r="U139" s="550"/>
      <c r="V139" s="1166"/>
      <c r="W139" s="1166"/>
      <c r="X139" s="1166"/>
      <c r="Y139" s="1166"/>
      <c r="Z139" s="1166"/>
      <c r="AA139" s="1638"/>
      <c r="AB139" s="572"/>
      <c r="AC139" s="572"/>
      <c r="AD139" s="572"/>
      <c r="AE139" s="572"/>
      <c r="AF139" s="1647">
        <v>11</v>
      </c>
    </row>
    <row s="1647" customFormat="1" customHeight="1" ht="11.549999999999999">
      <c r="A140" s="993"/>
      <c r="B140" s="1642"/>
      <c r="C140" s="1642"/>
      <c r="D140" s="357"/>
      <c r="K140" s="1166"/>
      <c r="L140" s="1642"/>
      <c r="M140" s="1642"/>
      <c r="N140" s="1166"/>
      <c r="O140" s="1166"/>
      <c r="P140" s="1166"/>
      <c r="Q140" s="1166"/>
      <c r="R140" s="1642"/>
      <c r="S140" s="1166"/>
      <c r="T140" s="1166"/>
      <c r="U140" s="550"/>
      <c r="V140" s="1166"/>
      <c r="W140" s="1166"/>
      <c r="X140" s="1166"/>
      <c r="Y140" s="1166"/>
      <c r="Z140" s="1166"/>
      <c r="AA140" s="1638"/>
      <c r="AB140" s="572"/>
      <c r="AC140" s="572"/>
      <c r="AD140" s="572"/>
      <c r="AE140" s="572"/>
      <c r="AF140" s="1647">
        <v>11</v>
      </c>
    </row>
    <row s="1647" customFormat="1" customHeight="1" ht="11.549999999999999">
      <c r="A141" s="993"/>
      <c r="B141" s="1642"/>
      <c r="C141" s="1642"/>
      <c r="D141" s="357"/>
      <c r="K141" s="1166"/>
      <c r="L141" s="1642"/>
      <c r="M141" s="1642"/>
      <c r="N141" s="1166"/>
      <c r="O141" s="1166"/>
      <c r="P141" s="1166"/>
      <c r="Q141" s="1166"/>
      <c r="R141" s="1642"/>
      <c r="S141" s="1166"/>
      <c r="T141" s="1166"/>
      <c r="U141" s="550"/>
      <c r="V141" s="1166"/>
      <c r="W141" s="1166"/>
      <c r="X141" s="1166"/>
      <c r="Y141" s="1166"/>
      <c r="Z141" s="1166"/>
      <c r="AA141" s="1638"/>
      <c r="AB141" s="572"/>
      <c r="AC141" s="572"/>
      <c r="AD141" s="572"/>
      <c r="AE141" s="572"/>
      <c r="AF141" s="1647">
        <v>11</v>
      </c>
    </row>
    <row s="1647" customFormat="1" customHeight="1" ht="11.549999999999999">
      <c r="A142" s="993"/>
      <c r="B142" s="1642"/>
      <c r="C142" s="1642"/>
      <c r="D142" s="357"/>
      <c r="K142" s="1166"/>
      <c r="L142" s="1642"/>
      <c r="M142" s="1642"/>
      <c r="N142" s="1166"/>
      <c r="O142" s="1166"/>
      <c r="P142" s="1166"/>
      <c r="Q142" s="1166"/>
      <c r="R142" s="1642"/>
      <c r="S142" s="1166"/>
      <c r="T142" s="1166"/>
      <c r="U142" s="550"/>
      <c r="V142" s="1166"/>
      <c r="W142" s="1166"/>
      <c r="X142" s="1166"/>
      <c r="Y142" s="1166"/>
      <c r="Z142" s="1166"/>
      <c r="AA142" s="1638"/>
      <c r="AB142" s="572"/>
      <c r="AC142" s="572"/>
      <c r="AD142" s="572"/>
      <c r="AE142" s="572"/>
      <c r="AF142" s="1647">
        <v>11</v>
      </c>
    </row>
    <row s="1647" customFormat="1" customHeight="1" ht="11.549999999999999">
      <c r="A143" s="993"/>
      <c r="B143" s="1642"/>
      <c r="C143" s="1642"/>
      <c r="D143" s="357"/>
      <c r="K143" s="1166"/>
      <c r="L143" s="1642"/>
      <c r="M143" s="1642"/>
      <c r="N143" s="1166"/>
      <c r="O143" s="1166"/>
      <c r="P143" s="1166"/>
      <c r="Q143" s="1166"/>
      <c r="R143" s="1642"/>
      <c r="S143" s="1166"/>
      <c r="T143" s="1166"/>
      <c r="U143" s="550"/>
      <c r="V143" s="1166"/>
      <c r="W143" s="1166"/>
      <c r="X143" s="1166"/>
      <c r="Y143" s="1166"/>
      <c r="Z143" s="1166"/>
      <c r="AA143" s="1638"/>
      <c r="AB143" s="572"/>
      <c r="AC143" s="572"/>
      <c r="AD143" s="572"/>
      <c r="AE143" s="572"/>
      <c r="AF143" s="1647">
        <v>11</v>
      </c>
    </row>
    <row s="1647" customFormat="1" customHeight="1" ht="11.549999999999999">
      <c r="A144" s="993"/>
      <c r="B144" s="1642"/>
      <c r="C144" s="1642"/>
      <c r="D144" s="357"/>
      <c r="K144" s="1166"/>
      <c r="L144" s="1642"/>
      <c r="M144" s="1642"/>
      <c r="N144" s="1166"/>
      <c r="O144" s="1166"/>
      <c r="P144" s="1166"/>
      <c r="Q144" s="1166"/>
      <c r="R144" s="1642"/>
      <c r="S144" s="1166"/>
      <c r="T144" s="1166"/>
      <c r="U144" s="550"/>
      <c r="V144" s="1166"/>
      <c r="W144" s="1166"/>
      <c r="X144" s="1166"/>
      <c r="Y144" s="1166"/>
      <c r="Z144" s="1166"/>
      <c r="AA144" s="1638"/>
      <c r="AB144" s="572"/>
      <c r="AC144" s="572"/>
      <c r="AD144" s="572"/>
      <c r="AE144" s="572"/>
      <c r="AF144" s="1647">
        <v>11</v>
      </c>
    </row>
    <row s="1647" customFormat="1" customHeight="1" ht="11.549999999999999">
      <c r="A145" s="993"/>
      <c r="B145" s="1642"/>
      <c r="C145" s="1642"/>
      <c r="D145" s="357"/>
      <c r="K145" s="1166"/>
      <c r="L145" s="1642"/>
      <c r="M145" s="1642"/>
      <c r="N145" s="1166"/>
      <c r="O145" s="1166"/>
      <c r="P145" s="1166"/>
      <c r="Q145" s="1166"/>
      <c r="R145" s="1642"/>
      <c r="S145" s="1166"/>
      <c r="T145" s="1166"/>
      <c r="U145" s="550"/>
      <c r="V145" s="1166"/>
      <c r="W145" s="1166"/>
      <c r="X145" s="1166"/>
      <c r="Y145" s="1166"/>
      <c r="Z145" s="1166"/>
      <c r="AA145" s="1638"/>
      <c r="AB145" s="572"/>
      <c r="AC145" s="572"/>
      <c r="AD145" s="572"/>
      <c r="AE145" s="572"/>
      <c r="AF145" s="1647">
        <v>11</v>
      </c>
    </row>
    <row s="1647" customFormat="1" customHeight="1" ht="11.549999999999999">
      <c r="A146" s="993"/>
      <c r="B146" s="1642"/>
      <c r="C146" s="1642"/>
      <c r="D146" s="357"/>
      <c r="K146" s="1166"/>
      <c r="L146" s="1642"/>
      <c r="M146" s="1642"/>
      <c r="N146" s="1166"/>
      <c r="O146" s="1166"/>
      <c r="P146" s="1166"/>
      <c r="Q146" s="1166"/>
      <c r="R146" s="1642"/>
      <c r="S146" s="1166"/>
      <c r="T146" s="1166"/>
      <c r="U146" s="550"/>
      <c r="V146" s="1166"/>
      <c r="W146" s="1166"/>
      <c r="X146" s="1166"/>
      <c r="Y146" s="1166"/>
      <c r="Z146" s="1166"/>
      <c r="AA146" s="1638"/>
      <c r="AB146" s="572"/>
      <c r="AC146" s="572"/>
      <c r="AD146" s="572"/>
      <c r="AE146" s="572"/>
      <c r="AF146" s="1647">
        <v>11</v>
      </c>
    </row>
    <row s="1647" customFormat="1" customHeight="1" ht="11.549999999999999">
      <c r="A147" s="993"/>
      <c r="B147" s="1642"/>
      <c r="C147" s="1642"/>
      <c r="D147" s="357"/>
      <c r="K147" s="1166"/>
      <c r="L147" s="1642"/>
      <c r="M147" s="1642"/>
      <c r="N147" s="1166"/>
      <c r="O147" s="1166"/>
      <c r="P147" s="1166"/>
      <c r="Q147" s="1166"/>
      <c r="R147" s="1642"/>
      <c r="S147" s="1166"/>
      <c r="T147" s="1166"/>
      <c r="U147" s="550"/>
      <c r="V147" s="1166"/>
      <c r="W147" s="1166"/>
      <c r="X147" s="1166"/>
      <c r="Y147" s="1166"/>
      <c r="Z147" s="1166"/>
      <c r="AA147" s="1638"/>
      <c r="AB147" s="572"/>
      <c r="AC147" s="572"/>
      <c r="AD147" s="572"/>
      <c r="AE147" s="572"/>
      <c r="AF147" s="1647">
        <v>11</v>
      </c>
    </row>
    <row s="1647" customFormat="1" customHeight="1" ht="11.549999999999999">
      <c r="A148" s="993"/>
      <c r="B148" s="1642"/>
      <c r="C148" s="1642"/>
      <c r="D148" s="357"/>
      <c r="K148" s="1166"/>
      <c r="L148" s="1642"/>
      <c r="M148" s="1642"/>
      <c r="N148" s="1166"/>
      <c r="O148" s="1166"/>
      <c r="P148" s="1166"/>
      <c r="Q148" s="1166"/>
      <c r="R148" s="1642"/>
      <c r="S148" s="1166"/>
      <c r="T148" s="1166"/>
      <c r="U148" s="550"/>
      <c r="V148" s="1166"/>
      <c r="W148" s="1166"/>
      <c r="X148" s="1166"/>
      <c r="Y148" s="1166"/>
      <c r="Z148" s="1166"/>
      <c r="AA148" s="1638"/>
      <c r="AB148" s="572"/>
      <c r="AC148" s="572"/>
      <c r="AD148" s="572"/>
      <c r="AE148" s="572"/>
      <c r="AF148" s="1647">
        <v>11</v>
      </c>
    </row>
    <row s="1647" customFormat="1" customHeight="1" ht="11.549999999999999">
      <c r="A149" s="993"/>
      <c r="B149" s="1642"/>
      <c r="C149" s="1642"/>
      <c r="D149" s="357"/>
      <c r="K149" s="1166"/>
      <c r="L149" s="1642"/>
      <c r="M149" s="1642"/>
      <c r="N149" s="1166"/>
      <c r="O149" s="1166"/>
      <c r="P149" s="1166"/>
      <c r="Q149" s="1166"/>
      <c r="R149" s="1642"/>
      <c r="S149" s="1166"/>
      <c r="T149" s="1166"/>
      <c r="U149" s="550"/>
      <c r="V149" s="1166"/>
      <c r="W149" s="1166"/>
      <c r="X149" s="1166"/>
      <c r="Y149" s="1166"/>
      <c r="Z149" s="1166"/>
      <c r="AA149" s="1638"/>
      <c r="AB149" s="572"/>
      <c r="AC149" s="572"/>
      <c r="AD149" s="572"/>
      <c r="AE149" s="572"/>
      <c r="AF149" s="1647">
        <v>11</v>
      </c>
    </row>
    <row s="1647" customFormat="1" customHeight="1" ht="11.549999999999999">
      <c r="A150" s="993"/>
      <c r="B150" s="1642"/>
      <c r="C150" s="1642"/>
      <c r="D150" s="357"/>
      <c r="K150" s="1166"/>
      <c r="L150" s="1642"/>
      <c r="M150" s="1642"/>
      <c r="N150" s="1166"/>
      <c r="O150" s="1166"/>
      <c r="P150" s="1166"/>
      <c r="Q150" s="1166"/>
      <c r="R150" s="1642"/>
      <c r="S150" s="1166"/>
      <c r="T150" s="1166"/>
      <c r="U150" s="550"/>
      <c r="V150" s="1166"/>
      <c r="W150" s="1166"/>
      <c r="X150" s="1166"/>
      <c r="Y150" s="1166"/>
      <c r="Z150" s="1166"/>
      <c r="AA150" s="1638"/>
      <c r="AB150" s="572"/>
      <c r="AC150" s="572"/>
      <c r="AD150" s="572"/>
      <c r="AE150" s="572"/>
      <c r="AF150" s="1647">
        <v>11</v>
      </c>
    </row>
    <row s="1647" customFormat="1" customHeight="1" ht="11.549999999999999">
      <c r="A151" s="993"/>
      <c r="B151" s="1642"/>
      <c r="C151" s="1642"/>
      <c r="D151" s="357"/>
      <c r="K151" s="1166"/>
      <c r="L151" s="1642"/>
      <c r="M151" s="1642"/>
      <c r="N151" s="1166"/>
      <c r="O151" s="1166"/>
      <c r="P151" s="1166"/>
      <c r="Q151" s="1166"/>
      <c r="R151" s="1642"/>
      <c r="S151" s="1166"/>
      <c r="T151" s="1166"/>
      <c r="U151" s="550"/>
      <c r="V151" s="1166"/>
      <c r="W151" s="1166"/>
      <c r="X151" s="1166"/>
      <c r="Y151" s="1166"/>
      <c r="Z151" s="1166"/>
      <c r="AA151" s="1638"/>
      <c r="AB151" s="572"/>
      <c r="AC151" s="572"/>
      <c r="AD151" s="572"/>
      <c r="AE151" s="572"/>
      <c r="AF151" s="1647">
        <v>11</v>
      </c>
    </row>
    <row s="1647" customFormat="1" customHeight="1" ht="11.549999999999999">
      <c r="A152" s="993"/>
      <c r="B152" s="1642"/>
      <c r="C152" s="1642"/>
      <c r="D152" s="357"/>
      <c r="K152" s="1166"/>
      <c r="L152" s="1642"/>
      <c r="M152" s="1642"/>
      <c r="N152" s="1166"/>
      <c r="O152" s="1166"/>
      <c r="P152" s="1166"/>
      <c r="Q152" s="1166"/>
      <c r="R152" s="1642"/>
      <c r="S152" s="1166"/>
      <c r="T152" s="1166"/>
      <c r="U152" s="550"/>
      <c r="V152" s="1166"/>
      <c r="W152" s="1166"/>
      <c r="X152" s="1166"/>
      <c r="Y152" s="1166"/>
      <c r="Z152" s="1166"/>
      <c r="AA152" s="1638"/>
      <c r="AB152" s="572"/>
      <c r="AC152" s="572"/>
      <c r="AD152" s="572"/>
      <c r="AE152" s="572"/>
      <c r="AF152" s="1647">
        <v>11</v>
      </c>
    </row>
    <row s="1647" customFormat="1" customHeight="1" ht="11.549999999999999">
      <c r="A153" s="993"/>
      <c r="B153" s="1642"/>
      <c r="C153" s="1642"/>
      <c r="D153" s="357"/>
      <c r="K153" s="1166"/>
      <c r="L153" s="1642"/>
      <c r="M153" s="1642"/>
      <c r="N153" s="1166"/>
      <c r="O153" s="1166"/>
      <c r="P153" s="1166"/>
      <c r="Q153" s="1166"/>
      <c r="R153" s="1642"/>
      <c r="S153" s="1166"/>
      <c r="T153" s="1166"/>
      <c r="U153" s="550"/>
      <c r="V153" s="1166"/>
      <c r="W153" s="1166"/>
      <c r="X153" s="1166"/>
      <c r="Y153" s="1166"/>
      <c r="Z153" s="1166"/>
      <c r="AA153" s="1638"/>
      <c r="AB153" s="572"/>
      <c r="AC153" s="572"/>
      <c r="AD153" s="572"/>
      <c r="AE153" s="572"/>
      <c r="AF153" s="1647">
        <v>11</v>
      </c>
    </row>
    <row s="1647" customFormat="1" customHeight="1" ht="11.549999999999999">
      <c r="A154" s="993"/>
      <c r="B154" s="1642"/>
      <c r="C154" s="1642"/>
      <c r="D154" s="357"/>
      <c r="K154" s="1166"/>
      <c r="L154" s="1642"/>
      <c r="M154" s="1642"/>
      <c r="N154" s="1166"/>
      <c r="O154" s="1166"/>
      <c r="P154" s="1166"/>
      <c r="Q154" s="1166"/>
      <c r="R154" s="1642"/>
      <c r="S154" s="1166"/>
      <c r="T154" s="1166"/>
      <c r="U154" s="550"/>
      <c r="V154" s="1166"/>
      <c r="W154" s="1166"/>
      <c r="X154" s="1166"/>
      <c r="Y154" s="1166"/>
      <c r="Z154" s="1166"/>
      <c r="AA154" s="1638"/>
      <c r="AB154" s="572"/>
      <c r="AC154" s="572"/>
      <c r="AD154" s="572"/>
      <c r="AE154" s="572"/>
      <c r="AF154" s="1647">
        <v>11</v>
      </c>
    </row>
    <row s="1647" customFormat="1" customHeight="1" ht="11.549999999999999">
      <c r="A155" s="993"/>
      <c r="B155" s="1642"/>
      <c r="C155" s="1642"/>
      <c r="D155" s="357"/>
      <c r="K155" s="1166"/>
      <c r="L155" s="1642"/>
      <c r="M155" s="1642"/>
      <c r="N155" s="1166"/>
      <c r="O155" s="1166"/>
      <c r="P155" s="1166"/>
      <c r="Q155" s="1166"/>
      <c r="R155" s="1642"/>
      <c r="S155" s="1166"/>
      <c r="T155" s="1166"/>
      <c r="U155" s="550"/>
      <c r="V155" s="1166"/>
      <c r="W155" s="1166"/>
      <c r="X155" s="1166"/>
      <c r="Y155" s="1166"/>
      <c r="Z155" s="1166"/>
      <c r="AA155" s="1638"/>
      <c r="AB155" s="572"/>
      <c r="AC155" s="572"/>
      <c r="AD155" s="572"/>
      <c r="AE155" s="572"/>
      <c r="AF155" s="1647">
        <v>11</v>
      </c>
    </row>
    <row s="1647" customFormat="1" customHeight="1" ht="11.549999999999999">
      <c r="A156" s="993"/>
      <c r="B156" s="1642"/>
      <c r="C156" s="1642"/>
      <c r="D156" s="357"/>
      <c r="K156" s="1166"/>
      <c r="L156" s="1642"/>
      <c r="M156" s="1642"/>
      <c r="N156" s="1166"/>
      <c r="O156" s="1166"/>
      <c r="P156" s="1166"/>
      <c r="Q156" s="1166"/>
      <c r="R156" s="1642"/>
      <c r="S156" s="1166"/>
      <c r="T156" s="1166"/>
      <c r="U156" s="550"/>
      <c r="V156" s="1166"/>
      <c r="W156" s="1166"/>
      <c r="X156" s="1166"/>
      <c r="Y156" s="1166"/>
      <c r="Z156" s="1166"/>
      <c r="AA156" s="1638"/>
      <c r="AB156" s="572"/>
      <c r="AC156" s="572"/>
      <c r="AD156" s="572"/>
      <c r="AE156" s="572"/>
      <c r="AF156" s="1647">
        <v>11</v>
      </c>
    </row>
    <row s="1647" customFormat="1" customHeight="1" ht="11.549999999999999">
      <c r="A157" s="993"/>
      <c r="B157" s="1642"/>
      <c r="C157" s="1642"/>
      <c r="D157" s="357"/>
      <c r="K157" s="1166"/>
      <c r="L157" s="1642"/>
      <c r="M157" s="1642"/>
      <c r="N157" s="1166"/>
      <c r="O157" s="1166"/>
      <c r="P157" s="1166"/>
      <c r="Q157" s="1166"/>
      <c r="R157" s="1642"/>
      <c r="S157" s="1166"/>
      <c r="T157" s="1166"/>
      <c r="U157" s="550"/>
      <c r="V157" s="1166"/>
      <c r="W157" s="1166"/>
      <c r="X157" s="1166"/>
      <c r="Y157" s="1166"/>
      <c r="Z157" s="1166"/>
      <c r="AA157" s="1638"/>
      <c r="AB157" s="572"/>
      <c r="AC157" s="572"/>
      <c r="AD157" s="572"/>
      <c r="AE157" s="572"/>
      <c r="AF157" s="1647">
        <v>11</v>
      </c>
    </row>
    <row s="1647" customFormat="1" customHeight="1" ht="11.549999999999999">
      <c r="A158" s="993"/>
      <c r="B158" s="1642"/>
      <c r="C158" s="1642"/>
      <c r="D158" s="357"/>
      <c r="K158" s="1166"/>
      <c r="L158" s="1642"/>
      <c r="M158" s="1642"/>
      <c r="N158" s="1166"/>
      <c r="O158" s="1166"/>
      <c r="P158" s="1166"/>
      <c r="Q158" s="1166"/>
      <c r="R158" s="1642"/>
      <c r="S158" s="1166"/>
      <c r="T158" s="1166"/>
      <c r="U158" s="550"/>
      <c r="V158" s="1166"/>
      <c r="W158" s="1166"/>
      <c r="X158" s="1166"/>
      <c r="Y158" s="1166"/>
      <c r="Z158" s="1166"/>
      <c r="AA158" s="1638"/>
      <c r="AB158" s="572"/>
      <c r="AC158" s="572"/>
      <c r="AD158" s="572"/>
      <c r="AE158" s="572"/>
      <c r="AF158" s="1647">
        <v>11</v>
      </c>
    </row>
    <row s="1647" customFormat="1" customHeight="1" ht="11.549999999999999">
      <c r="A159" s="993"/>
      <c r="B159" s="1642"/>
      <c r="C159" s="1642"/>
      <c r="D159" s="357"/>
      <c r="K159" s="1166"/>
      <c r="L159" s="1642"/>
      <c r="M159" s="1642"/>
      <c r="N159" s="1166"/>
      <c r="O159" s="1166"/>
      <c r="P159" s="1166"/>
      <c r="Q159" s="1166"/>
      <c r="R159" s="1642"/>
      <c r="S159" s="1166"/>
      <c r="T159" s="1166"/>
      <c r="U159" s="550"/>
      <c r="V159" s="1166"/>
      <c r="W159" s="1166"/>
      <c r="X159" s="1166"/>
      <c r="Y159" s="1166"/>
      <c r="Z159" s="1166"/>
      <c r="AA159" s="1638"/>
      <c r="AB159" s="572"/>
      <c r="AC159" s="572"/>
      <c r="AD159" s="572"/>
      <c r="AE159" s="572"/>
      <c r="AF159" s="1647">
        <v>11</v>
      </c>
    </row>
    <row s="1647" customFormat="1" customHeight="1" ht="11.549999999999999">
      <c r="A160" s="993"/>
      <c r="B160" s="1642"/>
      <c r="C160" s="1642"/>
      <c r="D160" s="357"/>
      <c r="K160" s="1166"/>
      <c r="L160" s="1642"/>
      <c r="M160" s="1642"/>
      <c r="N160" s="1166"/>
      <c r="O160" s="1166"/>
      <c r="P160" s="1166"/>
      <c r="Q160" s="1166"/>
      <c r="R160" s="1642"/>
      <c r="S160" s="1166"/>
      <c r="T160" s="1166"/>
      <c r="U160" s="550"/>
      <c r="V160" s="1166"/>
      <c r="W160" s="1166"/>
      <c r="X160" s="1166"/>
      <c r="Y160" s="1166"/>
      <c r="Z160" s="1166"/>
      <c r="AA160" s="1638"/>
      <c r="AB160" s="572"/>
      <c r="AC160" s="572"/>
      <c r="AD160" s="572"/>
      <c r="AE160" s="572"/>
      <c r="AF160" s="1647">
        <v>11</v>
      </c>
    </row>
    <row s="1647" customFormat="1" customHeight="1" ht="11.549999999999999">
      <c r="A161" s="993"/>
      <c r="B161" s="1642"/>
      <c r="C161" s="1642"/>
      <c r="D161" s="357"/>
      <c r="K161" s="1166"/>
      <c r="L161" s="1642"/>
      <c r="M161" s="1642"/>
      <c r="N161" s="1166"/>
      <c r="O161" s="1166"/>
      <c r="P161" s="1166"/>
      <c r="Q161" s="1166"/>
      <c r="R161" s="1642"/>
      <c r="S161" s="1166"/>
      <c r="T161" s="1166"/>
      <c r="U161" s="550"/>
      <c r="V161" s="1166"/>
      <c r="W161" s="1166"/>
      <c r="X161" s="1166"/>
      <c r="Y161" s="1166"/>
      <c r="Z161" s="1166"/>
      <c r="AA161" s="1638"/>
      <c r="AB161" s="572"/>
      <c r="AC161" s="572"/>
      <c r="AD161" s="572"/>
      <c r="AE161" s="572"/>
      <c r="AF161" s="1647">
        <v>11</v>
      </c>
    </row>
    <row s="1647" customFormat="1" customHeight="1" ht="11.549999999999999">
      <c r="A162" s="993"/>
      <c r="B162" s="1642"/>
      <c r="C162" s="1642"/>
      <c r="D162" s="357"/>
      <c r="K162" s="1166"/>
      <c r="L162" s="1642"/>
      <c r="M162" s="1642"/>
      <c r="N162" s="1166"/>
      <c r="O162" s="1166"/>
      <c r="P162" s="1166"/>
      <c r="Q162" s="1166"/>
      <c r="R162" s="1642"/>
      <c r="S162" s="1166"/>
      <c r="T162" s="1166"/>
      <c r="U162" s="550"/>
      <c r="V162" s="1166"/>
      <c r="W162" s="1166"/>
      <c r="X162" s="1166"/>
      <c r="Y162" s="1166"/>
      <c r="Z162" s="1166"/>
      <c r="AA162" s="1638"/>
      <c r="AB162" s="572"/>
      <c r="AC162" s="572"/>
      <c r="AD162" s="572"/>
      <c r="AE162" s="572"/>
      <c r="AF162" s="1647">
        <v>11</v>
      </c>
    </row>
    <row s="1647" customFormat="1" customHeight="1" ht="11.549999999999999">
      <c r="A163" s="993"/>
      <c r="B163" s="1642"/>
      <c r="C163" s="1642"/>
      <c r="D163" s="357"/>
      <c r="K163" s="1166"/>
      <c r="L163" s="1642"/>
      <c r="M163" s="1642"/>
      <c r="N163" s="1166"/>
      <c r="O163" s="1166"/>
      <c r="P163" s="1166"/>
      <c r="Q163" s="1166"/>
      <c r="R163" s="1642"/>
      <c r="S163" s="1166"/>
      <c r="T163" s="1166"/>
      <c r="U163" s="550"/>
      <c r="V163" s="1166"/>
      <c r="W163" s="1166"/>
      <c r="X163" s="1166"/>
      <c r="Y163" s="1166"/>
      <c r="Z163" s="1166"/>
      <c r="AA163" s="1638"/>
      <c r="AB163" s="572"/>
      <c r="AC163" s="572"/>
      <c r="AD163" s="572"/>
      <c r="AE163" s="572"/>
      <c r="AF163" s="1647">
        <v>11</v>
      </c>
    </row>
    <row s="1647" customFormat="1" customHeight="1" ht="11.549999999999999">
      <c r="A164" s="993"/>
      <c r="B164" s="1642"/>
      <c r="C164" s="1642"/>
      <c r="D164" s="357"/>
      <c r="K164" s="1166"/>
      <c r="L164" s="1642"/>
      <c r="M164" s="1642"/>
      <c r="N164" s="1166"/>
      <c r="O164" s="1166"/>
      <c r="P164" s="1166"/>
      <c r="Q164" s="1166"/>
      <c r="R164" s="1642"/>
      <c r="S164" s="1166"/>
      <c r="T164" s="1166"/>
      <c r="U164" s="550"/>
      <c r="V164" s="1166"/>
      <c r="W164" s="1166"/>
      <c r="X164" s="1166"/>
      <c r="Y164" s="1166"/>
      <c r="Z164" s="1166"/>
      <c r="AA164" s="1638"/>
      <c r="AB164" s="572"/>
      <c r="AC164" s="572"/>
      <c r="AD164" s="572"/>
      <c r="AE164" s="572"/>
      <c r="AF164" s="1647">
        <v>11</v>
      </c>
    </row>
    <row s="1647" customFormat="1" customHeight="1" ht="11.549999999999999">
      <c r="A165" s="993"/>
      <c r="B165" s="1642"/>
      <c r="C165" s="1642"/>
      <c r="D165" s="357"/>
      <c r="K165" s="1166"/>
      <c r="L165" s="1642"/>
      <c r="M165" s="1642"/>
      <c r="N165" s="1166"/>
      <c r="O165" s="1166"/>
      <c r="P165" s="1166"/>
      <c r="Q165" s="1166"/>
      <c r="R165" s="1642"/>
      <c r="S165" s="1166"/>
      <c r="T165" s="1166"/>
      <c r="U165" s="550"/>
      <c r="V165" s="1166"/>
      <c r="W165" s="1166"/>
      <c r="X165" s="1166"/>
      <c r="Y165" s="1166"/>
      <c r="Z165" s="1166"/>
      <c r="AA165" s="1638"/>
      <c r="AB165" s="572"/>
      <c r="AC165" s="572"/>
      <c r="AD165" s="572"/>
      <c r="AE165" s="572"/>
      <c r="AF165" s="1647">
        <v>11</v>
      </c>
    </row>
    <row s="1647" customFormat="1" customHeight="1" ht="11.549999999999999">
      <c r="A166" s="993"/>
      <c r="B166" s="1642"/>
      <c r="C166" s="1642"/>
      <c r="D166" s="357"/>
      <c r="K166" s="1166"/>
      <c r="L166" s="1642"/>
      <c r="M166" s="1642"/>
      <c r="N166" s="1166"/>
      <c r="O166" s="1166"/>
      <c r="P166" s="1166"/>
      <c r="Q166" s="1166"/>
      <c r="R166" s="1642"/>
      <c r="S166" s="1166"/>
      <c r="T166" s="1166"/>
      <c r="U166" s="550"/>
      <c r="V166" s="1166"/>
      <c r="W166" s="1166"/>
      <c r="X166" s="1166"/>
      <c r="Y166" s="1166"/>
      <c r="Z166" s="1166"/>
      <c r="AA166" s="1638"/>
      <c r="AB166" s="572"/>
      <c r="AC166" s="572"/>
      <c r="AD166" s="572"/>
      <c r="AE166" s="572"/>
      <c r="AF166" s="1647">
        <v>11</v>
      </c>
    </row>
    <row s="1647" customFormat="1" customHeight="1" ht="11.549999999999999">
      <c r="A167" s="993"/>
      <c r="B167" s="1642"/>
      <c r="C167" s="1642"/>
      <c r="D167" s="357"/>
      <c r="K167" s="1166"/>
      <c r="L167" s="1642"/>
      <c r="M167" s="1642"/>
      <c r="N167" s="1166"/>
      <c r="O167" s="1166"/>
      <c r="P167" s="1166"/>
      <c r="Q167" s="1166"/>
      <c r="R167" s="1642"/>
      <c r="S167" s="1166"/>
      <c r="T167" s="1166"/>
      <c r="U167" s="550"/>
      <c r="V167" s="1166"/>
      <c r="W167" s="1166"/>
      <c r="X167" s="1166"/>
      <c r="Y167" s="1166"/>
      <c r="Z167" s="1166"/>
      <c r="AA167" s="1638"/>
      <c r="AB167" s="572"/>
      <c r="AC167" s="572"/>
      <c r="AD167" s="572"/>
      <c r="AE167" s="572"/>
      <c r="AF167" s="1647">
        <v>11</v>
      </c>
    </row>
    <row s="1647" customFormat="1" customHeight="1" ht="11.549999999999999">
      <c r="A168" s="993"/>
      <c r="B168" s="1642"/>
      <c r="C168" s="1642"/>
      <c r="D168" s="357"/>
      <c r="K168" s="1166"/>
      <c r="L168" s="1642"/>
      <c r="M168" s="1642"/>
      <c r="N168" s="1166"/>
      <c r="O168" s="1166"/>
      <c r="P168" s="1166"/>
      <c r="Q168" s="1166"/>
      <c r="R168" s="1642"/>
      <c r="S168" s="1166"/>
      <c r="T168" s="1166"/>
      <c r="U168" s="550"/>
      <c r="V168" s="1166"/>
      <c r="W168" s="1166"/>
      <c r="X168" s="1166"/>
      <c r="Y168" s="1166"/>
      <c r="Z168" s="1166"/>
      <c r="AA168" s="1638"/>
      <c r="AB168" s="572"/>
      <c r="AC168" s="572"/>
      <c r="AD168" s="572"/>
      <c r="AE168" s="572"/>
      <c r="AF168" s="1647">
        <v>11</v>
      </c>
    </row>
    <row s="1647" customFormat="1" customHeight="1" ht="11.549999999999999">
      <c r="A169" s="993"/>
      <c r="B169" s="1642"/>
      <c r="C169" s="1642"/>
      <c r="D169" s="357"/>
      <c r="K169" s="1166"/>
      <c r="L169" s="1642"/>
      <c r="M169" s="1642"/>
      <c r="N169" s="1166"/>
      <c r="O169" s="1166"/>
      <c r="P169" s="1166"/>
      <c r="Q169" s="1166"/>
      <c r="R169" s="1642"/>
      <c r="S169" s="1166"/>
      <c r="T169" s="1166"/>
      <c r="U169" s="550"/>
      <c r="V169" s="1166"/>
      <c r="W169" s="1166"/>
      <c r="X169" s="1166"/>
      <c r="Y169" s="1166"/>
      <c r="Z169" s="1166"/>
      <c r="AA169" s="1638"/>
      <c r="AB169" s="572"/>
      <c r="AC169" s="572"/>
      <c r="AD169" s="572"/>
      <c r="AE169" s="572"/>
      <c r="AF169" s="1647">
        <v>11</v>
      </c>
    </row>
    <row s="1647" customFormat="1" customHeight="1" ht="11.549999999999999">
      <c r="A170" s="993"/>
      <c r="B170" s="1642"/>
      <c r="C170" s="1642"/>
      <c r="D170" s="357"/>
      <c r="K170" s="1166"/>
      <c r="L170" s="1642"/>
      <c r="M170" s="1642"/>
      <c r="N170" s="1166"/>
      <c r="O170" s="1166"/>
      <c r="P170" s="1166"/>
      <c r="Q170" s="1166"/>
      <c r="R170" s="1642"/>
      <c r="S170" s="1166"/>
      <c r="T170" s="1166"/>
      <c r="U170" s="550"/>
      <c r="V170" s="1166"/>
      <c r="W170" s="1166"/>
      <c r="X170" s="1166"/>
      <c r="Y170" s="1166"/>
      <c r="Z170" s="1166"/>
      <c r="AA170" s="1638"/>
      <c r="AB170" s="572"/>
      <c r="AC170" s="572"/>
      <c r="AD170" s="572"/>
      <c r="AE170" s="572"/>
      <c r="AF170" s="1647">
        <v>11</v>
      </c>
    </row>
    <row s="1647" customFormat="1" customHeight="1" ht="11.549999999999999">
      <c r="A171" s="993"/>
      <c r="B171" s="1642"/>
      <c r="C171" s="1642"/>
      <c r="D171" s="357"/>
      <c r="K171" s="1166"/>
      <c r="L171" s="1642"/>
      <c r="M171" s="1642"/>
      <c r="N171" s="1166"/>
      <c r="O171" s="1166"/>
      <c r="P171" s="1166"/>
      <c r="Q171" s="1166"/>
      <c r="R171" s="1642"/>
      <c r="S171" s="1166"/>
      <c r="T171" s="1166"/>
      <c r="U171" s="550"/>
      <c r="V171" s="1166"/>
      <c r="W171" s="1166"/>
      <c r="X171" s="1166"/>
      <c r="Y171" s="1166"/>
      <c r="Z171" s="1166"/>
      <c r="AA171" s="1638"/>
      <c r="AB171" s="572"/>
      <c r="AC171" s="572"/>
      <c r="AD171" s="572"/>
      <c r="AE171" s="572"/>
      <c r="AF171" s="1647">
        <v>11</v>
      </c>
    </row>
    <row s="1647" customFormat="1" customHeight="1" ht="11.549999999999999">
      <c r="A172" s="993"/>
      <c r="B172" s="1642"/>
      <c r="C172" s="1642"/>
      <c r="D172" s="357"/>
      <c r="K172" s="1166"/>
      <c r="L172" s="1642"/>
      <c r="M172" s="1642"/>
      <c r="N172" s="1166"/>
      <c r="O172" s="1166"/>
      <c r="P172" s="1166"/>
      <c r="Q172" s="1166"/>
      <c r="R172" s="1642"/>
      <c r="S172" s="1166"/>
      <c r="T172" s="1166"/>
      <c r="U172" s="550"/>
      <c r="V172" s="1166"/>
      <c r="W172" s="1166"/>
      <c r="X172" s="1166"/>
      <c r="Y172" s="1166"/>
      <c r="Z172" s="1166"/>
      <c r="AA172" s="1638"/>
      <c r="AB172" s="572"/>
      <c r="AC172" s="572"/>
      <c r="AD172" s="572"/>
      <c r="AE172" s="572"/>
      <c r="AF172" s="1647">
        <v>11</v>
      </c>
    </row>
    <row s="1647" customFormat="1" customHeight="1" ht="11.549999999999999">
      <c r="A173" s="993"/>
      <c r="B173" s="1642"/>
      <c r="C173" s="1642"/>
      <c r="D173" s="357"/>
      <c r="K173" s="1166"/>
      <c r="L173" s="1642"/>
      <c r="M173" s="1642"/>
      <c r="N173" s="1166"/>
      <c r="O173" s="1166"/>
      <c r="P173" s="1166"/>
      <c r="Q173" s="1166"/>
      <c r="R173" s="1642"/>
      <c r="S173" s="1166"/>
      <c r="T173" s="1166"/>
      <c r="U173" s="550"/>
      <c r="V173" s="1166"/>
      <c r="W173" s="1166"/>
      <c r="X173" s="1166"/>
      <c r="Y173" s="1166"/>
      <c r="Z173" s="1166"/>
      <c r="AA173" s="1638"/>
      <c r="AB173" s="572"/>
      <c r="AC173" s="572"/>
      <c r="AD173" s="572"/>
      <c r="AE173" s="572"/>
      <c r="AF173" s="1647">
        <v>11</v>
      </c>
    </row>
    <row s="1647" customFormat="1" customHeight="1" ht="11.549999999999999">
      <c r="A174" s="993"/>
      <c r="B174" s="1642"/>
      <c r="C174" s="1642"/>
      <c r="D174" s="357"/>
      <c r="K174" s="1166"/>
      <c r="L174" s="1642"/>
      <c r="M174" s="1642"/>
      <c r="N174" s="1166"/>
      <c r="O174" s="1166"/>
      <c r="P174" s="1166"/>
      <c r="Q174" s="1166"/>
      <c r="R174" s="1642"/>
      <c r="S174" s="1166"/>
      <c r="T174" s="1166"/>
      <c r="U174" s="550"/>
      <c r="V174" s="1166"/>
      <c r="W174" s="1166"/>
      <c r="X174" s="1166"/>
      <c r="Y174" s="1166"/>
      <c r="Z174" s="1166"/>
      <c r="AA174" s="1638"/>
      <c r="AB174" s="572"/>
      <c r="AC174" s="572"/>
      <c r="AD174" s="572"/>
      <c r="AE174" s="572"/>
      <c r="AF174" s="1647">
        <v>11</v>
      </c>
    </row>
    <row s="1647" customFormat="1" customHeight="1" ht="11.549999999999999">
      <c r="A175" s="993"/>
      <c r="B175" s="1642"/>
      <c r="C175" s="1642"/>
      <c r="D175" s="357"/>
      <c r="K175" s="1166"/>
      <c r="L175" s="1642"/>
      <c r="M175" s="1642"/>
      <c r="N175" s="1166"/>
      <c r="O175" s="1166"/>
      <c r="P175" s="1166"/>
      <c r="Q175" s="1166"/>
      <c r="R175" s="1642"/>
      <c r="S175" s="1166"/>
      <c r="T175" s="1166"/>
      <c r="U175" s="550"/>
      <c r="V175" s="1166"/>
      <c r="W175" s="1166"/>
      <c r="X175" s="1166"/>
      <c r="Y175" s="1166"/>
      <c r="Z175" s="1166"/>
      <c r="AA175" s="1638"/>
      <c r="AB175" s="572"/>
      <c r="AC175" s="572"/>
      <c r="AD175" s="572"/>
      <c r="AE175" s="572"/>
      <c r="AF175" s="1647">
        <v>11</v>
      </c>
    </row>
    <row s="1647" customFormat="1" customHeight="1" ht="11.549999999999999">
      <c r="A176" s="993"/>
      <c r="B176" s="1642"/>
      <c r="C176" s="1642"/>
      <c r="D176" s="357"/>
      <c r="K176" s="1166"/>
      <c r="L176" s="1642"/>
      <c r="M176" s="1642"/>
      <c r="N176" s="1166"/>
      <c r="O176" s="1166"/>
      <c r="P176" s="1166"/>
      <c r="Q176" s="1166"/>
      <c r="R176" s="1642"/>
      <c r="S176" s="1166"/>
      <c r="T176" s="1166"/>
      <c r="U176" s="550"/>
      <c r="V176" s="1166"/>
      <c r="W176" s="1166"/>
      <c r="X176" s="1166"/>
      <c r="Y176" s="1166"/>
      <c r="Z176" s="1166"/>
      <c r="AA176" s="1638"/>
      <c r="AB176" s="572"/>
      <c r="AC176" s="572"/>
      <c r="AD176" s="572"/>
      <c r="AE176" s="572"/>
      <c r="AF176" s="1647">
        <v>11</v>
      </c>
    </row>
    <row s="1647" customFormat="1" customHeight="1" ht="11.549999999999999">
      <c r="A177" s="993"/>
      <c r="B177" s="1642"/>
      <c r="C177" s="1642"/>
      <c r="D177" s="357"/>
      <c r="K177" s="1166"/>
      <c r="L177" s="1642"/>
      <c r="M177" s="1642"/>
      <c r="N177" s="1166"/>
      <c r="O177" s="1166"/>
      <c r="P177" s="1166"/>
      <c r="Q177" s="1166"/>
      <c r="R177" s="1642"/>
      <c r="S177" s="1166"/>
      <c r="T177" s="1166"/>
      <c r="U177" s="550"/>
      <c r="V177" s="1166"/>
      <c r="W177" s="1166"/>
      <c r="X177" s="1166"/>
      <c r="Y177" s="1166"/>
      <c r="Z177" s="1166"/>
      <c r="AA177" s="1638"/>
      <c r="AB177" s="572"/>
      <c r="AC177" s="572"/>
      <c r="AD177" s="572"/>
      <c r="AE177" s="572"/>
      <c r="AF177" s="1647">
        <v>11</v>
      </c>
    </row>
    <row s="1647" customFormat="1" customHeight="1" ht="11.549999999999999">
      <c r="A178" s="993"/>
      <c r="B178" s="1642"/>
      <c r="C178" s="1642"/>
      <c r="D178" s="357"/>
      <c r="K178" s="1166"/>
      <c r="L178" s="1642"/>
      <c r="M178" s="1642"/>
      <c r="N178" s="1166"/>
      <c r="O178" s="1166"/>
      <c r="P178" s="1166"/>
      <c r="Q178" s="1166"/>
      <c r="R178" s="1642"/>
      <c r="S178" s="1166"/>
      <c r="T178" s="1166"/>
      <c r="U178" s="550"/>
      <c r="V178" s="1166"/>
      <c r="W178" s="1166"/>
      <c r="X178" s="1166"/>
      <c r="Y178" s="1166"/>
      <c r="Z178" s="1166"/>
      <c r="AA178" s="1638"/>
      <c r="AB178" s="572"/>
      <c r="AC178" s="572"/>
      <c r="AD178" s="572"/>
      <c r="AE178" s="572"/>
      <c r="AF178" s="1647">
        <v>11</v>
      </c>
    </row>
    <row s="1647" customFormat="1" customHeight="1" ht="11.549999999999999">
      <c r="A179" s="993"/>
      <c r="B179" s="1642"/>
      <c r="C179" s="1642"/>
      <c r="D179" s="357"/>
      <c r="K179" s="1166"/>
      <c r="L179" s="1642"/>
      <c r="M179" s="1642"/>
      <c r="N179" s="1166"/>
      <c r="O179" s="1166"/>
      <c r="P179" s="1166"/>
      <c r="Q179" s="1166"/>
      <c r="R179" s="1642"/>
      <c r="S179" s="1166"/>
      <c r="T179" s="1166"/>
      <c r="U179" s="550"/>
      <c r="V179" s="1166"/>
      <c r="W179" s="1166"/>
      <c r="X179" s="1166"/>
      <c r="Y179" s="1166"/>
      <c r="Z179" s="1166"/>
      <c r="AA179" s="1638"/>
      <c r="AB179" s="572"/>
      <c r="AC179" s="572"/>
      <c r="AD179" s="572"/>
      <c r="AE179" s="572"/>
      <c r="AF179" s="1647">
        <v>11</v>
      </c>
    </row>
    <row s="1647" customFormat="1" customHeight="1" ht="11.549999999999999">
      <c r="A180" s="993"/>
      <c r="B180" s="1642"/>
      <c r="C180" s="1642"/>
      <c r="D180" s="357"/>
      <c r="K180" s="1166"/>
      <c r="L180" s="1642"/>
      <c r="M180" s="1642"/>
      <c r="N180" s="1166"/>
      <c r="O180" s="1166"/>
      <c r="P180" s="1166"/>
      <c r="Q180" s="1166"/>
      <c r="R180" s="1642"/>
      <c r="S180" s="1166"/>
      <c r="T180" s="1166"/>
      <c r="U180" s="550"/>
      <c r="V180" s="1166"/>
      <c r="W180" s="1166"/>
      <c r="X180" s="1166"/>
      <c r="Y180" s="1166"/>
      <c r="Z180" s="1166"/>
      <c r="AA180" s="1638"/>
      <c r="AB180" s="572"/>
      <c r="AC180" s="572"/>
      <c r="AD180" s="572"/>
      <c r="AE180" s="572"/>
      <c r="AF180" s="1647">
        <v>11</v>
      </c>
    </row>
    <row s="1647" customFormat="1" customHeight="1" ht="11.549999999999999">
      <c r="A181" s="993"/>
      <c r="B181" s="1642"/>
      <c r="C181" s="1642"/>
      <c r="D181" s="357"/>
      <c r="K181" s="1166"/>
      <c r="L181" s="1642"/>
      <c r="M181" s="1642"/>
      <c r="N181" s="1166"/>
      <c r="O181" s="1166"/>
      <c r="P181" s="1166"/>
      <c r="Q181" s="1166"/>
      <c r="R181" s="1642"/>
      <c r="S181" s="1166"/>
      <c r="T181" s="1166"/>
      <c r="U181" s="550"/>
      <c r="V181" s="1166"/>
      <c r="W181" s="1166"/>
      <c r="X181" s="1166"/>
      <c r="Y181" s="1166"/>
      <c r="Z181" s="1166"/>
      <c r="AA181" s="1638"/>
      <c r="AB181" s="572"/>
      <c r="AC181" s="572"/>
      <c r="AD181" s="572"/>
      <c r="AE181" s="572"/>
      <c r="AF181" s="1647">
        <v>11</v>
      </c>
    </row>
    <row s="1647" customFormat="1" customHeight="1" ht="11.549999999999999">
      <c r="A182" s="993"/>
      <c r="B182" s="1642"/>
      <c r="C182" s="1642"/>
      <c r="D182" s="357"/>
      <c r="K182" s="1166"/>
      <c r="L182" s="1642"/>
      <c r="M182" s="1642"/>
      <c r="N182" s="1166"/>
      <c r="O182" s="1166"/>
      <c r="P182" s="1166"/>
      <c r="Q182" s="1166"/>
      <c r="R182" s="1642"/>
      <c r="S182" s="1166"/>
      <c r="T182" s="1166"/>
      <c r="U182" s="550"/>
      <c r="V182" s="1166"/>
      <c r="W182" s="1166"/>
      <c r="X182" s="1166"/>
      <c r="Y182" s="1166"/>
      <c r="Z182" s="1166"/>
      <c r="AA182" s="1638"/>
      <c r="AB182" s="572"/>
      <c r="AC182" s="572"/>
      <c r="AD182" s="572"/>
      <c r="AE182" s="572"/>
      <c r="AF182" s="1647">
        <v>11</v>
      </c>
    </row>
    <row s="1647" customFormat="1" customHeight="1" ht="11.549999999999999">
      <c r="A183" s="993"/>
      <c r="B183" s="1642"/>
      <c r="C183" s="1642"/>
      <c r="D183" s="357"/>
      <c r="K183" s="1166"/>
      <c r="L183" s="1642"/>
      <c r="M183" s="1642"/>
      <c r="N183" s="1166"/>
      <c r="O183" s="1166"/>
      <c r="P183" s="1166"/>
      <c r="Q183" s="1166"/>
      <c r="R183" s="1642"/>
      <c r="S183" s="1166"/>
      <c r="T183" s="1166"/>
      <c r="U183" s="550"/>
      <c r="V183" s="1166"/>
      <c r="W183" s="1166"/>
      <c r="X183" s="1166"/>
      <c r="Y183" s="1166"/>
      <c r="Z183" s="1166"/>
      <c r="AA183" s="1638"/>
      <c r="AB183" s="572"/>
      <c r="AC183" s="572"/>
      <c r="AD183" s="572"/>
      <c r="AE183" s="572"/>
      <c r="AF183" s="1647">
        <v>11</v>
      </c>
    </row>
    <row s="1647" customFormat="1" customHeight="1" ht="11.549999999999999">
      <c r="A184" s="993"/>
      <c r="B184" s="1642"/>
      <c r="C184" s="1642"/>
      <c r="D184" s="357"/>
      <c r="K184" s="1166"/>
      <c r="L184" s="1642"/>
      <c r="M184" s="1642"/>
      <c r="N184" s="1166"/>
      <c r="O184" s="1166"/>
      <c r="P184" s="1166"/>
      <c r="Q184" s="1166"/>
      <c r="R184" s="1642"/>
      <c r="S184" s="1166"/>
      <c r="T184" s="1166"/>
      <c r="U184" s="550"/>
      <c r="V184" s="1166"/>
      <c r="W184" s="1166"/>
      <c r="X184" s="1166"/>
      <c r="Y184" s="1166"/>
      <c r="Z184" s="1166"/>
      <c r="AA184" s="1638"/>
      <c r="AB184" s="572"/>
      <c r="AC184" s="572"/>
      <c r="AD184" s="572"/>
      <c r="AE184" s="572"/>
      <c r="AF184" s="1647">
        <v>11</v>
      </c>
    </row>
    <row s="1647" customFormat="1" customHeight="1" ht="11.549999999999999">
      <c r="A185" s="993"/>
      <c r="B185" s="1642"/>
      <c r="C185" s="1642"/>
      <c r="D185" s="357"/>
      <c r="K185" s="1166"/>
      <c r="L185" s="1642"/>
      <c r="M185" s="1642"/>
      <c r="N185" s="1166"/>
      <c r="O185" s="1166"/>
      <c r="P185" s="1166"/>
      <c r="Q185" s="1166"/>
      <c r="R185" s="1642"/>
      <c r="S185" s="1166"/>
      <c r="T185" s="1166"/>
      <c r="U185" s="550"/>
      <c r="V185" s="1166"/>
      <c r="W185" s="1166"/>
      <c r="X185" s="1166"/>
      <c r="Y185" s="1166"/>
      <c r="Z185" s="1166"/>
      <c r="AA185" s="1638"/>
      <c r="AB185" s="572"/>
      <c r="AC185" s="572"/>
      <c r="AD185" s="572"/>
      <c r="AE185" s="572"/>
      <c r="AF185" s="1647">
        <v>11</v>
      </c>
    </row>
    <row s="1647" customFormat="1" customHeight="1" ht="11.549999999999999">
      <c r="A186" s="993"/>
      <c r="B186" s="1642"/>
      <c r="C186" s="1642"/>
      <c r="D186" s="357"/>
      <c r="K186" s="1166"/>
      <c r="L186" s="1642"/>
      <c r="M186" s="1642"/>
      <c r="N186" s="1166"/>
      <c r="O186" s="1166"/>
      <c r="P186" s="1166"/>
      <c r="Q186" s="1166"/>
      <c r="R186" s="1642"/>
      <c r="S186" s="1166"/>
      <c r="T186" s="1166"/>
      <c r="U186" s="550"/>
      <c r="V186" s="1166"/>
      <c r="W186" s="1166"/>
      <c r="X186" s="1166"/>
      <c r="Y186" s="1166"/>
      <c r="Z186" s="1166"/>
      <c r="AA186" s="1638"/>
      <c r="AB186" s="572"/>
      <c r="AC186" s="572"/>
      <c r="AD186" s="572"/>
      <c r="AE186" s="572"/>
      <c r="AF186" s="1647">
        <v>11</v>
      </c>
    </row>
    <row s="1647" customFormat="1" customHeight="1" ht="11.549999999999999">
      <c r="A187" s="993"/>
      <c r="B187" s="1642"/>
      <c r="C187" s="1642"/>
      <c r="D187" s="357"/>
      <c r="K187" s="1166"/>
      <c r="L187" s="1642"/>
      <c r="M187" s="1642"/>
      <c r="N187" s="1166"/>
      <c r="O187" s="1166"/>
      <c r="P187" s="1166"/>
      <c r="Q187" s="1166"/>
      <c r="R187" s="1642"/>
      <c r="S187" s="1166"/>
      <c r="T187" s="1166"/>
      <c r="U187" s="550"/>
      <c r="V187" s="1166"/>
      <c r="W187" s="1166"/>
      <c r="X187" s="1166"/>
      <c r="Y187" s="1166"/>
      <c r="Z187" s="1166"/>
      <c r="AA187" s="1638"/>
      <c r="AB187" s="572"/>
      <c r="AC187" s="572"/>
      <c r="AD187" s="572"/>
      <c r="AE187" s="572"/>
      <c r="AF187" s="1647">
        <v>11</v>
      </c>
    </row>
    <row s="1647" customFormat="1" customHeight="1" ht="11.549999999999999">
      <c r="A188" s="993"/>
      <c r="B188" s="1642"/>
      <c r="C188" s="1642"/>
      <c r="D188" s="357"/>
      <c r="K188" s="1166"/>
      <c r="L188" s="1642"/>
      <c r="M188" s="1642"/>
      <c r="N188" s="1166"/>
      <c r="O188" s="1166"/>
      <c r="P188" s="1166"/>
      <c r="Q188" s="1166"/>
      <c r="R188" s="1642"/>
      <c r="S188" s="1166"/>
      <c r="T188" s="1166"/>
      <c r="U188" s="550"/>
      <c r="V188" s="1166"/>
      <c r="W188" s="1166"/>
      <c r="X188" s="1166"/>
      <c r="Y188" s="1166"/>
      <c r="Z188" s="1166"/>
      <c r="AA188" s="1638"/>
      <c r="AB188" s="572"/>
      <c r="AC188" s="572"/>
      <c r="AD188" s="572"/>
      <c r="AE188" s="572"/>
      <c r="AF188" s="1647">
        <v>11</v>
      </c>
    </row>
    <row s="1647" customFormat="1" customHeight="1" ht="11.549999999999999">
      <c r="A189" s="993"/>
      <c r="B189" s="1642"/>
      <c r="C189" s="1642"/>
      <c r="D189" s="357"/>
      <c r="K189" s="1166"/>
      <c r="L189" s="1642"/>
      <c r="M189" s="1642"/>
      <c r="N189" s="1166"/>
      <c r="O189" s="1166"/>
      <c r="P189" s="1166"/>
      <c r="Q189" s="1166"/>
      <c r="R189" s="1642"/>
      <c r="S189" s="1166"/>
      <c r="T189" s="1166"/>
      <c r="U189" s="550"/>
      <c r="V189" s="1166"/>
      <c r="W189" s="1166"/>
      <c r="X189" s="1166"/>
      <c r="Y189" s="1166"/>
      <c r="Z189" s="1166"/>
      <c r="AA189" s="1638"/>
      <c r="AB189" s="572"/>
      <c r="AC189" s="572"/>
      <c r="AD189" s="572"/>
      <c r="AE189" s="572"/>
      <c r="AF189" s="1647">
        <v>11</v>
      </c>
    </row>
    <row s="1647" customFormat="1" customHeight="1" ht="11.549999999999999">
      <c r="A190" s="993"/>
      <c r="B190" s="1642"/>
      <c r="C190" s="1642"/>
      <c r="D190" s="357"/>
      <c r="K190" s="1166"/>
      <c r="L190" s="1642"/>
      <c r="M190" s="1642"/>
      <c r="N190" s="1166"/>
      <c r="O190" s="1166"/>
      <c r="P190" s="1166"/>
      <c r="Q190" s="1166"/>
      <c r="R190" s="1642"/>
      <c r="S190" s="1166"/>
      <c r="T190" s="1166"/>
      <c r="U190" s="550"/>
      <c r="V190" s="1166"/>
      <c r="W190" s="1166"/>
      <c r="X190" s="1166"/>
      <c r="Y190" s="1166"/>
      <c r="Z190" s="1166"/>
      <c r="AA190" s="1638"/>
      <c r="AB190" s="572"/>
      <c r="AC190" s="572"/>
      <c r="AD190" s="572"/>
      <c r="AE190" s="572"/>
      <c r="AF190" s="1647">
        <v>11</v>
      </c>
    </row>
    <row s="1647" customFormat="1" customHeight="1" ht="11.549999999999999">
      <c r="A191" s="993"/>
      <c r="B191" s="1642"/>
      <c r="C191" s="1642"/>
      <c r="D191" s="357"/>
      <c r="K191" s="1166"/>
      <c r="L191" s="1642"/>
      <c r="M191" s="1642"/>
      <c r="N191" s="1166"/>
      <c r="O191" s="1166"/>
      <c r="P191" s="1166"/>
      <c r="Q191" s="1166"/>
      <c r="R191" s="1642"/>
      <c r="S191" s="1166"/>
      <c r="T191" s="1166"/>
      <c r="U191" s="550"/>
      <c r="V191" s="1166"/>
      <c r="W191" s="1166"/>
      <c r="X191" s="1166"/>
      <c r="Y191" s="1166"/>
      <c r="Z191" s="1166"/>
      <c r="AA191" s="1638"/>
      <c r="AB191" s="572"/>
      <c r="AC191" s="572"/>
      <c r="AD191" s="572"/>
      <c r="AE191" s="572"/>
      <c r="AF191" s="1647">
        <v>11</v>
      </c>
    </row>
    <row s="1647" customFormat="1" customHeight="1" ht="11.549999999999999">
      <c r="A192" s="993"/>
      <c r="B192" s="1642"/>
      <c r="C192" s="1642"/>
      <c r="D192" s="357"/>
      <c r="K192" s="1166"/>
      <c r="L192" s="1642"/>
      <c r="M192" s="1642"/>
      <c r="N192" s="1166"/>
      <c r="O192" s="1166"/>
      <c r="P192" s="1166"/>
      <c r="Q192" s="1166"/>
      <c r="R192" s="1642"/>
      <c r="S192" s="1166"/>
      <c r="T192" s="1166"/>
      <c r="U192" s="550"/>
      <c r="V192" s="1166"/>
      <c r="W192" s="1166"/>
      <c r="X192" s="1166"/>
      <c r="Y192" s="1166"/>
      <c r="Z192" s="1166"/>
      <c r="AA192" s="1638"/>
      <c r="AB192" s="572"/>
      <c r="AC192" s="572"/>
      <c r="AD192" s="572"/>
      <c r="AE192" s="572"/>
      <c r="AF192" s="1647">
        <v>11</v>
      </c>
    </row>
    <row s="1647" customFormat="1" customHeight="1" ht="11.549999999999999">
      <c r="A193" s="993"/>
      <c r="B193" s="1642"/>
      <c r="C193" s="1642"/>
      <c r="D193" s="357"/>
      <c r="K193" s="1166"/>
      <c r="L193" s="1642"/>
      <c r="M193" s="1642"/>
      <c r="N193" s="1166"/>
      <c r="O193" s="1166"/>
      <c r="P193" s="1166"/>
      <c r="Q193" s="1166"/>
      <c r="R193" s="1642"/>
      <c r="S193" s="1166"/>
      <c r="T193" s="1166"/>
      <c r="U193" s="550"/>
      <c r="V193" s="1166"/>
      <c r="W193" s="1166"/>
      <c r="X193" s="1166"/>
      <c r="Y193" s="1166"/>
      <c r="Z193" s="1166"/>
      <c r="AA193" s="1638"/>
      <c r="AB193" s="572"/>
      <c r="AC193" s="572"/>
      <c r="AD193" s="572"/>
      <c r="AE193" s="572"/>
      <c r="AF193" s="1647">
        <v>11</v>
      </c>
    </row>
    <row s="1647" customFormat="1" customHeight="1" ht="11.549999999999999">
      <c r="A194" s="993"/>
      <c r="B194" s="1642"/>
      <c r="C194" s="1642"/>
      <c r="D194" s="357"/>
      <c r="K194" s="1166"/>
      <c r="L194" s="1642"/>
      <c r="M194" s="1642"/>
      <c r="N194" s="1166"/>
      <c r="O194" s="1166"/>
      <c r="P194" s="1166"/>
      <c r="Q194" s="1166"/>
      <c r="R194" s="1642"/>
      <c r="S194" s="1166"/>
      <c r="T194" s="1166"/>
      <c r="U194" s="550"/>
      <c r="V194" s="1166"/>
      <c r="W194" s="1166"/>
      <c r="X194" s="1166"/>
      <c r="Y194" s="1166"/>
      <c r="Z194" s="1166"/>
      <c r="AA194" s="1638"/>
      <c r="AB194" s="572"/>
      <c r="AC194" s="572"/>
      <c r="AD194" s="572"/>
      <c r="AE194" s="572"/>
      <c r="AF194" s="1647">
        <v>11</v>
      </c>
    </row>
    <row s="1647" customFormat="1" customHeight="1" ht="11.549999999999999">
      <c r="A195" s="993"/>
      <c r="B195" s="1642"/>
      <c r="C195" s="1642"/>
      <c r="D195" s="357"/>
      <c r="K195" s="1166"/>
      <c r="L195" s="1642"/>
      <c r="M195" s="1642"/>
      <c r="N195" s="1166"/>
      <c r="O195" s="1166"/>
      <c r="P195" s="1166"/>
      <c r="Q195" s="1166"/>
      <c r="R195" s="1642"/>
      <c r="S195" s="1166"/>
      <c r="T195" s="1166"/>
      <c r="U195" s="550"/>
      <c r="V195" s="1166"/>
      <c r="W195" s="1166"/>
      <c r="X195" s="1166"/>
      <c r="Y195" s="1166"/>
      <c r="Z195" s="1166"/>
      <c r="AA195" s="1638"/>
      <c r="AB195" s="572"/>
      <c r="AC195" s="572"/>
      <c r="AD195" s="572"/>
      <c r="AE195" s="572"/>
      <c r="AF195" s="1647">
        <v>11</v>
      </c>
    </row>
    <row s="1647" customFormat="1" customHeight="1" ht="11.549999999999999">
      <c r="A196" s="993"/>
      <c r="B196" s="1642"/>
      <c r="C196" s="1642"/>
      <c r="D196" s="357"/>
      <c r="K196" s="1166"/>
      <c r="L196" s="1642"/>
      <c r="M196" s="1642"/>
      <c r="N196" s="1166"/>
      <c r="O196" s="1166"/>
      <c r="P196" s="1166"/>
      <c r="Q196" s="1166"/>
      <c r="R196" s="1642"/>
      <c r="S196" s="1166"/>
      <c r="T196" s="1166"/>
      <c r="U196" s="550"/>
      <c r="V196" s="1166"/>
      <c r="W196" s="1166"/>
      <c r="X196" s="1166"/>
      <c r="Y196" s="1166"/>
      <c r="Z196" s="1166"/>
      <c r="AA196" s="1638"/>
      <c r="AB196" s="572"/>
      <c r="AC196" s="572"/>
      <c r="AD196" s="572"/>
      <c r="AE196" s="572"/>
      <c r="AF196" s="1647">
        <v>11</v>
      </c>
    </row>
    <row s="1647" customFormat="1" customHeight="1" ht="11.549999999999999">
      <c r="A197" s="993"/>
      <c r="B197" s="1642"/>
      <c r="C197" s="1642"/>
      <c r="D197" s="357"/>
      <c r="K197" s="1166"/>
      <c r="L197" s="1642"/>
      <c r="M197" s="1642"/>
      <c r="N197" s="1166"/>
      <c r="O197" s="1166"/>
      <c r="P197" s="1166"/>
      <c r="Q197" s="1166"/>
      <c r="R197" s="1642"/>
      <c r="S197" s="1166"/>
      <c r="T197" s="1166"/>
      <c r="U197" s="550"/>
      <c r="V197" s="1166"/>
      <c r="W197" s="1166"/>
      <c r="X197" s="1166"/>
      <c r="Y197" s="1166"/>
      <c r="Z197" s="1166"/>
      <c r="AA197" s="1638"/>
      <c r="AB197" s="572"/>
      <c r="AC197" s="572"/>
      <c r="AD197" s="572"/>
      <c r="AE197" s="572"/>
      <c r="AF197" s="1647">
        <v>11</v>
      </c>
    </row>
    <row s="1647" customFormat="1" customHeight="1" ht="11.549999999999999">
      <c r="A198" s="993"/>
      <c r="B198" s="1642"/>
      <c r="C198" s="1642"/>
      <c r="D198" s="357"/>
      <c r="K198" s="1166"/>
      <c r="L198" s="1642"/>
      <c r="M198" s="1642"/>
      <c r="N198" s="1166"/>
      <c r="O198" s="1166"/>
      <c r="P198" s="1166"/>
      <c r="Q198" s="1166"/>
      <c r="R198" s="1642"/>
      <c r="S198" s="1166"/>
      <c r="T198" s="1166"/>
      <c r="U198" s="550"/>
      <c r="V198" s="1166"/>
      <c r="W198" s="1166"/>
      <c r="X198" s="1166"/>
      <c r="Y198" s="1166"/>
      <c r="Z198" s="1166"/>
      <c r="AA198" s="1638"/>
      <c r="AB198" s="572"/>
      <c r="AC198" s="572"/>
      <c r="AD198" s="572"/>
      <c r="AE198" s="572"/>
      <c r="AF198" s="1647">
        <v>11</v>
      </c>
    </row>
    <row s="1647" customFormat="1" customHeight="1" ht="11.549999999999999">
      <c r="A199" s="993"/>
      <c r="B199" s="1642"/>
      <c r="C199" s="1642"/>
      <c r="D199" s="357"/>
      <c r="K199" s="1166"/>
      <c r="L199" s="1642"/>
      <c r="M199" s="1642"/>
      <c r="N199" s="1166"/>
      <c r="O199" s="1166"/>
      <c r="P199" s="1166"/>
      <c r="Q199" s="1166"/>
      <c r="R199" s="1642"/>
      <c r="S199" s="1166"/>
      <c r="T199" s="1166"/>
      <c r="U199" s="550"/>
      <c r="V199" s="1166"/>
      <c r="W199" s="1166"/>
      <c r="X199" s="1166"/>
      <c r="Y199" s="1166"/>
      <c r="Z199" s="1166"/>
      <c r="AA199" s="1638"/>
      <c r="AB199" s="572"/>
      <c r="AC199" s="572"/>
      <c r="AD199" s="572"/>
      <c r="AE199" s="572"/>
      <c r="AF199" s="1647">
        <v>11</v>
      </c>
    </row>
    <row s="1647" customFormat="1" customHeight="1" ht="11.549999999999999">
      <c r="A200" s="993"/>
      <c r="B200" s="1642"/>
      <c r="C200" s="1642"/>
      <c r="D200" s="357"/>
      <c r="K200" s="1166"/>
      <c r="L200" s="1642"/>
      <c r="M200" s="1642"/>
      <c r="N200" s="1166"/>
      <c r="O200" s="1166"/>
      <c r="P200" s="1166"/>
      <c r="Q200" s="1166"/>
      <c r="R200" s="1642"/>
      <c r="S200" s="1166"/>
      <c r="T200" s="1166"/>
      <c r="U200" s="550"/>
      <c r="V200" s="1166"/>
      <c r="W200" s="1166"/>
      <c r="X200" s="1166"/>
      <c r="Y200" s="1166"/>
      <c r="Z200" s="1166"/>
      <c r="AA200" s="1638"/>
      <c r="AB200" s="572"/>
      <c r="AC200" s="572"/>
      <c r="AD200" s="572"/>
      <c r="AE200" s="572"/>
      <c r="AF200" s="1647">
        <v>11</v>
      </c>
    </row>
    <row s="1647" customFormat="1" customHeight="1" ht="11.549999999999999">
      <c r="A201" s="993"/>
      <c r="B201" s="1642"/>
      <c r="C201" s="1642"/>
      <c r="D201" s="357"/>
      <c r="K201" s="1166"/>
      <c r="L201" s="1642"/>
      <c r="M201" s="1642"/>
      <c r="N201" s="1166"/>
      <c r="O201" s="1166"/>
      <c r="P201" s="1166"/>
      <c r="Q201" s="1166"/>
      <c r="R201" s="1642"/>
      <c r="S201" s="1166"/>
      <c r="T201" s="1166"/>
      <c r="U201" s="550"/>
      <c r="V201" s="1166"/>
      <c r="W201" s="1166"/>
      <c r="X201" s="1166"/>
      <c r="Y201" s="1166"/>
      <c r="Z201" s="1166"/>
      <c r="AA201" s="1638"/>
      <c r="AB201" s="572"/>
      <c r="AC201" s="572"/>
      <c r="AD201" s="572"/>
      <c r="AE201" s="572"/>
      <c r="AF201" s="1647">
        <v>11</v>
      </c>
    </row>
    <row s="1647" customFormat="1" customHeight="1" ht="11.549999999999999">
      <c r="A202" s="993"/>
      <c r="B202" s="1642"/>
      <c r="C202" s="1642"/>
      <c r="D202" s="357"/>
      <c r="K202" s="1166"/>
      <c r="L202" s="1642"/>
      <c r="M202" s="1642"/>
      <c r="N202" s="1166"/>
      <c r="O202" s="1166"/>
      <c r="P202" s="1166"/>
      <c r="Q202" s="1166"/>
      <c r="R202" s="1642"/>
      <c r="S202" s="1166"/>
      <c r="T202" s="1166"/>
      <c r="U202" s="550"/>
      <c r="V202" s="1166"/>
      <c r="W202" s="1166"/>
      <c r="X202" s="1166"/>
      <c r="Y202" s="1166"/>
      <c r="Z202" s="1166"/>
      <c r="AA202" s="1638"/>
      <c r="AB202" s="572"/>
      <c r="AC202" s="572"/>
      <c r="AD202" s="572"/>
      <c r="AE202" s="572"/>
      <c r="AF202" s="1647">
        <v>11</v>
      </c>
    </row>
    <row s="1647" customFormat="1" customHeight="1" ht="11.549999999999999">
      <c r="A203" s="993"/>
      <c r="B203" s="1642"/>
      <c r="C203" s="1642"/>
      <c r="D203" s="357"/>
      <c r="K203" s="1166"/>
      <c r="L203" s="1642"/>
      <c r="M203" s="1642"/>
      <c r="N203" s="1166"/>
      <c r="O203" s="1166"/>
      <c r="P203" s="1166"/>
      <c r="Q203" s="1166"/>
      <c r="R203" s="1642"/>
      <c r="S203" s="1166"/>
      <c r="T203" s="1166"/>
      <c r="U203" s="550"/>
      <c r="V203" s="1166"/>
      <c r="W203" s="1166"/>
      <c r="X203" s="1166"/>
      <c r="Y203" s="1166"/>
      <c r="Z203" s="1166"/>
      <c r="AA203" s="1638"/>
      <c r="AB203" s="572"/>
      <c r="AC203" s="572"/>
      <c r="AD203" s="572"/>
      <c r="AE203" s="572"/>
      <c r="AF203" s="1647">
        <v>11</v>
      </c>
    </row>
    <row s="1647" customFormat="1" customHeight="1" ht="11.549999999999999">
      <c r="A204" s="993"/>
      <c r="B204" s="1642"/>
      <c r="C204" s="1642"/>
      <c r="D204" s="357"/>
      <c r="K204" s="1166"/>
      <c r="L204" s="1642"/>
      <c r="M204" s="1642"/>
      <c r="N204" s="1166"/>
      <c r="O204" s="1166"/>
      <c r="P204" s="1166"/>
      <c r="Q204" s="1166"/>
      <c r="R204" s="1642"/>
      <c r="S204" s="1166"/>
      <c r="T204" s="1166"/>
      <c r="U204" s="550"/>
      <c r="V204" s="1166"/>
      <c r="W204" s="1166"/>
      <c r="X204" s="1166"/>
      <c r="Y204" s="1166"/>
      <c r="Z204" s="1166"/>
      <c r="AA204" s="1638"/>
      <c r="AB204" s="572"/>
      <c r="AC204" s="572"/>
      <c r="AD204" s="572"/>
      <c r="AE204" s="572"/>
      <c r="AF204" s="1647">
        <v>11</v>
      </c>
    </row>
    <row s="1647" customFormat="1" customHeight="1" ht="11.549999999999999">
      <c r="A205" s="993"/>
      <c r="B205" s="1642"/>
      <c r="C205" s="1642"/>
      <c r="D205" s="357"/>
      <c r="K205" s="1166"/>
      <c r="L205" s="1642"/>
      <c r="M205" s="1642"/>
      <c r="N205" s="1166"/>
      <c r="O205" s="1166"/>
      <c r="P205" s="1166"/>
      <c r="Q205" s="1166"/>
      <c r="R205" s="1642"/>
      <c r="S205" s="1166"/>
      <c r="T205" s="1166"/>
      <c r="U205" s="550"/>
      <c r="V205" s="1166"/>
      <c r="W205" s="1166"/>
      <c r="X205" s="1166"/>
      <c r="Y205" s="1166"/>
      <c r="Z205" s="1166"/>
      <c r="AA205" s="1638"/>
      <c r="AB205" s="572"/>
      <c r="AC205" s="572"/>
      <c r="AD205" s="572"/>
      <c r="AE205" s="572"/>
      <c r="AF205" s="1647">
        <v>11</v>
      </c>
    </row>
    <row s="1647" customFormat="1" customHeight="1" ht="11.549999999999999">
      <c r="A206" s="993"/>
      <c r="B206" s="1642"/>
      <c r="C206" s="1642"/>
      <c r="D206" s="357"/>
      <c r="K206" s="1166"/>
      <c r="L206" s="1642"/>
      <c r="M206" s="1642"/>
      <c r="N206" s="1166"/>
      <c r="O206" s="1166"/>
      <c r="P206" s="1166"/>
      <c r="Q206" s="1166"/>
      <c r="R206" s="1642"/>
      <c r="S206" s="1166"/>
      <c r="T206" s="1166"/>
      <c r="U206" s="550"/>
      <c r="V206" s="1166"/>
      <c r="W206" s="1166"/>
      <c r="X206" s="1166"/>
      <c r="Y206" s="1166"/>
      <c r="Z206" s="1166"/>
      <c r="AA206" s="1638"/>
      <c r="AB206" s="572"/>
      <c r="AC206" s="572"/>
      <c r="AD206" s="572"/>
      <c r="AE206" s="572"/>
      <c r="AF206" s="1647">
        <v>11</v>
      </c>
    </row>
    <row s="1647" customFormat="1" customHeight="1" ht="11.549999999999999">
      <c r="A207" s="993"/>
      <c r="B207" s="1642"/>
      <c r="C207" s="1642"/>
      <c r="D207" s="357"/>
      <c r="K207" s="1166"/>
      <c r="L207" s="1642"/>
      <c r="M207" s="1642"/>
      <c r="N207" s="1166"/>
      <c r="O207" s="1166"/>
      <c r="P207" s="1166"/>
      <c r="Q207" s="1166"/>
      <c r="R207" s="1642"/>
      <c r="S207" s="1166"/>
      <c r="T207" s="1166"/>
      <c r="U207" s="550"/>
      <c r="V207" s="1166"/>
      <c r="W207" s="1166"/>
      <c r="X207" s="1166"/>
      <c r="Y207" s="1166"/>
      <c r="Z207" s="1166"/>
      <c r="AA207" s="1638"/>
      <c r="AB207" s="572"/>
      <c r="AC207" s="572"/>
      <c r="AD207" s="572"/>
      <c r="AE207" s="572"/>
      <c r="AF207" s="1647">
        <v>11</v>
      </c>
    </row>
    <row s="1647" customFormat="1" customHeight="1" ht="11.549999999999999">
      <c r="A208" s="993"/>
      <c r="B208" s="1642"/>
      <c r="C208" s="1642"/>
      <c r="D208" s="357"/>
      <c r="K208" s="1166"/>
      <c r="L208" s="1642"/>
      <c r="M208" s="1642"/>
      <c r="N208" s="1166"/>
      <c r="O208" s="1166"/>
      <c r="P208" s="1166"/>
      <c r="Q208" s="1166"/>
      <c r="R208" s="1642"/>
      <c r="S208" s="1166"/>
      <c r="T208" s="1166"/>
      <c r="U208" s="550"/>
      <c r="V208" s="1166"/>
      <c r="W208" s="1166"/>
      <c r="X208" s="1166"/>
      <c r="Y208" s="1166"/>
      <c r="Z208" s="1166"/>
      <c r="AA208" s="1638"/>
      <c r="AB208" s="572"/>
      <c r="AC208" s="572"/>
      <c r="AD208" s="572"/>
      <c r="AE208" s="572"/>
      <c r="AF208" s="1647">
        <v>11</v>
      </c>
    </row>
    <row s="1647" customFormat="1" customHeight="1" ht="11.549999999999999">
      <c r="A209" s="993"/>
      <c r="B209" s="1642"/>
      <c r="C209" s="1642"/>
      <c r="D209" s="357"/>
      <c r="K209" s="1166"/>
      <c r="L209" s="1642"/>
      <c r="M209" s="1642"/>
      <c r="N209" s="1166"/>
      <c r="O209" s="1166"/>
      <c r="P209" s="1166"/>
      <c r="Q209" s="1166"/>
      <c r="R209" s="1642"/>
      <c r="S209" s="1166"/>
      <c r="T209" s="1166"/>
      <c r="U209" s="550"/>
      <c r="V209" s="1166"/>
      <c r="W209" s="1166"/>
      <c r="X209" s="1166"/>
      <c r="Y209" s="1166"/>
      <c r="Z209" s="1166"/>
      <c r="AA209" s="1638"/>
      <c r="AB209" s="572"/>
      <c r="AC209" s="572"/>
      <c r="AD209" s="572"/>
      <c r="AE209" s="572"/>
      <c r="AF209" s="1647">
        <v>11</v>
      </c>
    </row>
    <row s="1647" customFormat="1" customHeight="1" ht="11.549999999999999">
      <c r="A210" s="993"/>
      <c r="B210" s="1642"/>
      <c r="C210" s="1642"/>
      <c r="D210" s="357"/>
      <c r="K210" s="1166"/>
      <c r="L210" s="1642"/>
      <c r="M210" s="1642"/>
      <c r="N210" s="1166"/>
      <c r="O210" s="1166"/>
      <c r="P210" s="1166"/>
      <c r="Q210" s="1166"/>
      <c r="R210" s="1642"/>
      <c r="S210" s="1166"/>
      <c r="T210" s="1166"/>
      <c r="U210" s="550"/>
      <c r="V210" s="1166"/>
      <c r="W210" s="1166"/>
      <c r="X210" s="1166"/>
      <c r="Y210" s="1166"/>
      <c r="Z210" s="1166"/>
      <c r="AA210" s="1638"/>
      <c r="AB210" s="572"/>
      <c r="AC210" s="572"/>
      <c r="AD210" s="572"/>
      <c r="AE210" s="572"/>
      <c r="AF210" s="1647">
        <v>11</v>
      </c>
    </row>
    <row s="1647" customFormat="1" customHeight="1" ht="11.549999999999999">
      <c r="A211" s="993"/>
      <c r="B211" s="1642"/>
      <c r="C211" s="1642"/>
      <c r="D211" s="357"/>
      <c r="K211" s="1166"/>
      <c r="L211" s="1642"/>
      <c r="M211" s="1642"/>
      <c r="N211" s="1166"/>
      <c r="O211" s="1166"/>
      <c r="P211" s="1166"/>
      <c r="Q211" s="1166"/>
      <c r="R211" s="1642"/>
      <c r="S211" s="1166"/>
      <c r="T211" s="1166"/>
      <c r="U211" s="550"/>
      <c r="V211" s="1166"/>
      <c r="W211" s="1166"/>
      <c r="X211" s="1166"/>
      <c r="Y211" s="1166"/>
      <c r="Z211" s="1166"/>
      <c r="AA211" s="1638"/>
      <c r="AB211" s="572"/>
      <c r="AC211" s="572"/>
      <c r="AD211" s="572"/>
      <c r="AE211" s="572"/>
      <c r="AF211" s="1647">
        <v>11</v>
      </c>
    </row>
    <row s="1647" customFormat="1" customHeight="1" ht="11.549999999999999">
      <c r="A212" s="993"/>
      <c r="B212" s="1642"/>
      <c r="C212" s="1642"/>
      <c r="D212" s="357"/>
      <c r="K212" s="1166"/>
      <c r="L212" s="1642"/>
      <c r="M212" s="1642"/>
      <c r="N212" s="1166"/>
      <c r="O212" s="1166"/>
      <c r="P212" s="1166"/>
      <c r="Q212" s="1166"/>
      <c r="R212" s="1642"/>
      <c r="S212" s="1166"/>
      <c r="T212" s="1166"/>
      <c r="U212" s="550"/>
      <c r="V212" s="1166"/>
      <c r="W212" s="1166"/>
      <c r="X212" s="1166"/>
      <c r="Y212" s="1166"/>
      <c r="Z212" s="1166"/>
      <c r="AA212" s="1638"/>
      <c r="AB212" s="572"/>
      <c r="AC212" s="572"/>
      <c r="AD212" s="572"/>
      <c r="AE212" s="572"/>
      <c r="AF212" s="1647">
        <v>11</v>
      </c>
    </row>
    <row s="1647" customFormat="1" customHeight="1" ht="11.549999999999999">
      <c r="A213" s="993"/>
      <c r="B213" s="1642"/>
      <c r="C213" s="1642"/>
      <c r="D213" s="357"/>
      <c r="K213" s="1166"/>
      <c r="L213" s="1642"/>
      <c r="M213" s="1642"/>
      <c r="N213" s="1166"/>
      <c r="O213" s="1166"/>
      <c r="P213" s="1166"/>
      <c r="Q213" s="1166"/>
      <c r="R213" s="1642"/>
      <c r="S213" s="1166"/>
      <c r="T213" s="1166"/>
      <c r="U213" s="550"/>
      <c r="V213" s="1166"/>
      <c r="W213" s="1166"/>
      <c r="X213" s="1166"/>
      <c r="Y213" s="1166"/>
      <c r="Z213" s="1166"/>
      <c r="AA213" s="1638"/>
      <c r="AB213" s="572"/>
      <c r="AC213" s="572"/>
      <c r="AD213" s="572"/>
      <c r="AE213" s="572"/>
      <c r="AF213" s="1647">
        <v>11</v>
      </c>
    </row>
    <row s="1647" customFormat="1" customHeight="1" ht="11.549999999999999">
      <c r="A214" s="993"/>
      <c r="B214" s="1642"/>
      <c r="C214" s="1642"/>
      <c r="D214" s="357"/>
      <c r="K214" s="1166"/>
      <c r="L214" s="1642"/>
      <c r="M214" s="1642"/>
      <c r="N214" s="1166"/>
      <c r="O214" s="1166"/>
      <c r="P214" s="1166"/>
      <c r="Q214" s="1166"/>
      <c r="R214" s="1642"/>
      <c r="S214" s="1166"/>
      <c r="T214" s="1166"/>
      <c r="U214" s="550"/>
      <c r="V214" s="1166"/>
      <c r="W214" s="1166"/>
      <c r="X214" s="1166"/>
      <c r="Y214" s="1166"/>
      <c r="Z214" s="1166"/>
      <c r="AA214" s="1638"/>
      <c r="AB214" s="572"/>
      <c r="AC214" s="572"/>
      <c r="AD214" s="572"/>
      <c r="AE214" s="572"/>
      <c r="AF214" s="1647">
        <v>11</v>
      </c>
    </row>
    <row s="1647" customFormat="1" customHeight="1" ht="11.549999999999999">
      <c r="A215" s="993"/>
      <c r="B215" s="1642"/>
      <c r="C215" s="1642"/>
      <c r="D215" s="357"/>
      <c r="K215" s="1166"/>
      <c r="L215" s="1642"/>
      <c r="M215" s="1642"/>
      <c r="N215" s="1166"/>
      <c r="O215" s="1166"/>
      <c r="P215" s="1166"/>
      <c r="Q215" s="1166"/>
      <c r="R215" s="1642"/>
      <c r="S215" s="1166"/>
      <c r="T215" s="1166"/>
      <c r="U215" s="550"/>
      <c r="V215" s="1166"/>
      <c r="W215" s="1166"/>
      <c r="X215" s="1166"/>
      <c r="Y215" s="1166"/>
      <c r="Z215" s="1166"/>
      <c r="AA215" s="1638"/>
      <c r="AB215" s="572"/>
      <c r="AC215" s="572"/>
      <c r="AD215" s="572"/>
      <c r="AE215" s="572"/>
      <c r="AF215" s="1647">
        <v>11</v>
      </c>
    </row>
    <row s="1647" customFormat="1" customHeight="1" ht="11.549999999999999">
      <c r="A216" s="993"/>
      <c r="B216" s="1642"/>
      <c r="C216" s="1642"/>
      <c r="D216" s="357"/>
      <c r="K216" s="1166"/>
      <c r="L216" s="1642"/>
      <c r="M216" s="1642"/>
      <c r="N216" s="1166"/>
      <c r="O216" s="1166"/>
      <c r="P216" s="1166"/>
      <c r="Q216" s="1166"/>
      <c r="R216" s="1642"/>
      <c r="S216" s="1166"/>
      <c r="T216" s="1166"/>
      <c r="U216" s="550"/>
      <c r="V216" s="1166"/>
      <c r="W216" s="1166"/>
      <c r="X216" s="1166"/>
      <c r="Y216" s="1166"/>
      <c r="Z216" s="1166"/>
      <c r="AA216" s="1638"/>
      <c r="AB216" s="572"/>
      <c r="AC216" s="572"/>
      <c r="AD216" s="572"/>
      <c r="AE216" s="572"/>
      <c r="AF216" s="1647">
        <v>11</v>
      </c>
    </row>
    <row s="1647" customFormat="1" customHeight="1" ht="11.549999999999999">
      <c r="A217" s="993"/>
      <c r="B217" s="1642"/>
      <c r="C217" s="1642"/>
      <c r="D217" s="357"/>
      <c r="K217" s="1166"/>
      <c r="L217" s="1642"/>
      <c r="M217" s="1642"/>
      <c r="N217" s="1166"/>
      <c r="O217" s="1166"/>
      <c r="P217" s="1166"/>
      <c r="Q217" s="1166"/>
      <c r="R217" s="1642"/>
      <c r="S217" s="1166"/>
      <c r="T217" s="1166"/>
      <c r="U217" s="550"/>
      <c r="V217" s="1166"/>
      <c r="W217" s="1166"/>
      <c r="X217" s="1166"/>
      <c r="Y217" s="1166"/>
      <c r="Z217" s="1166"/>
      <c r="AA217" s="1638"/>
      <c r="AB217" s="572"/>
      <c r="AC217" s="572"/>
      <c r="AD217" s="572"/>
      <c r="AE217" s="572"/>
      <c r="AF217" s="1647">
        <v>11</v>
      </c>
    </row>
    <row s="1647" customFormat="1" customHeight="1" ht="11.549999999999999">
      <c r="A218" s="993"/>
      <c r="B218" s="1642"/>
      <c r="C218" s="1642"/>
      <c r="D218" s="357"/>
      <c r="K218" s="1166"/>
      <c r="L218" s="1642"/>
      <c r="M218" s="1642"/>
      <c r="N218" s="1166"/>
      <c r="O218" s="1166"/>
      <c r="P218" s="1166"/>
      <c r="Q218" s="1166"/>
      <c r="R218" s="1642"/>
      <c r="S218" s="1166"/>
      <c r="T218" s="1166"/>
      <c r="U218" s="550"/>
      <c r="V218" s="1166"/>
      <c r="W218" s="1166"/>
      <c r="X218" s="1166"/>
      <c r="Y218" s="1166"/>
      <c r="Z218" s="1166"/>
      <c r="AA218" s="1638"/>
      <c r="AB218" s="572"/>
      <c r="AC218" s="572"/>
      <c r="AD218" s="572"/>
      <c r="AE218" s="572"/>
      <c r="AF218" s="1647">
        <v>11</v>
      </c>
    </row>
    <row s="1647" customFormat="1" customHeight="1" ht="11.549999999999999">
      <c r="A219" s="993"/>
      <c r="B219" s="1642"/>
      <c r="C219" s="1642"/>
      <c r="D219" s="357"/>
      <c r="K219" s="1166"/>
      <c r="L219" s="1642"/>
      <c r="M219" s="1642"/>
      <c r="N219" s="1166"/>
      <c r="O219" s="1166"/>
      <c r="P219" s="1166"/>
      <c r="Q219" s="1166"/>
      <c r="R219" s="1642"/>
      <c r="S219" s="1166"/>
      <c r="T219" s="1166"/>
      <c r="U219" s="550"/>
      <c r="V219" s="1166"/>
      <c r="W219" s="1166"/>
      <c r="X219" s="1166"/>
      <c r="Y219" s="1166"/>
      <c r="Z219" s="1166"/>
      <c r="AA219" s="1638"/>
      <c r="AB219" s="572"/>
      <c r="AC219" s="572"/>
      <c r="AD219" s="572"/>
      <c r="AE219" s="572"/>
      <c r="AF219" s="1647">
        <v>11</v>
      </c>
    </row>
    <row s="1647" customFormat="1" customHeight="1" ht="11.549999999999999">
      <c r="A220" s="993"/>
      <c r="B220" s="1642"/>
      <c r="C220" s="1642"/>
      <c r="D220" s="357"/>
      <c r="K220" s="1166"/>
      <c r="L220" s="1642"/>
      <c r="M220" s="1642"/>
      <c r="N220" s="1166"/>
      <c r="O220" s="1166"/>
      <c r="P220" s="1166"/>
      <c r="Q220" s="1166"/>
      <c r="R220" s="1642"/>
      <c r="S220" s="1166"/>
      <c r="T220" s="1166"/>
      <c r="U220" s="550"/>
      <c r="V220" s="1166"/>
      <c r="W220" s="1166"/>
      <c r="X220" s="1166"/>
      <c r="Y220" s="1166"/>
      <c r="Z220" s="1166"/>
      <c r="AA220" s="1638"/>
      <c r="AB220" s="572"/>
      <c r="AC220" s="572"/>
      <c r="AD220" s="572"/>
      <c r="AE220" s="572"/>
      <c r="AF220" s="1647">
        <v>11</v>
      </c>
    </row>
    <row s="1647" customFormat="1" customHeight="1" ht="11.549999999999999">
      <c r="A221" s="993"/>
      <c r="B221" s="1642"/>
      <c r="C221" s="1642"/>
      <c r="D221" s="357"/>
      <c r="K221" s="1166"/>
      <c r="L221" s="1642"/>
      <c r="M221" s="1642"/>
      <c r="N221" s="1166"/>
      <c r="O221" s="1166"/>
      <c r="P221" s="1166"/>
      <c r="Q221" s="1166"/>
      <c r="R221" s="1642"/>
      <c r="S221" s="1166"/>
      <c r="T221" s="1166"/>
      <c r="U221" s="550"/>
      <c r="V221" s="1166"/>
      <c r="W221" s="1166"/>
      <c r="X221" s="1166"/>
      <c r="Y221" s="1166"/>
      <c r="Z221" s="1166"/>
      <c r="AA221" s="1638"/>
      <c r="AB221" s="572"/>
      <c r="AC221" s="572"/>
      <c r="AD221" s="572"/>
      <c r="AE221" s="572"/>
      <c r="AF221" s="1647">
        <v>11</v>
      </c>
    </row>
    <row s="1647" customFormat="1" customHeight="1" ht="11.549999999999999">
      <c r="A222" s="993"/>
      <c r="B222" s="1642"/>
      <c r="C222" s="1642"/>
      <c r="D222" s="357"/>
      <c r="K222" s="1166"/>
      <c r="L222" s="1642"/>
      <c r="M222" s="1642"/>
      <c r="N222" s="1166"/>
      <c r="O222" s="1166"/>
      <c r="P222" s="1166"/>
      <c r="Q222" s="1166"/>
      <c r="R222" s="1642"/>
      <c r="S222" s="1166"/>
      <c r="T222" s="1166"/>
      <c r="U222" s="550"/>
      <c r="V222" s="1166"/>
      <c r="W222" s="1166"/>
      <c r="X222" s="1166"/>
      <c r="Y222" s="1166"/>
      <c r="Z222" s="1166"/>
      <c r="AA222" s="1638"/>
      <c r="AB222" s="572"/>
      <c r="AC222" s="572"/>
      <c r="AD222" s="572"/>
      <c r="AE222" s="572"/>
      <c r="AF222" s="1647">
        <v>11</v>
      </c>
    </row>
    <row s="1647" customFormat="1" customHeight="1" ht="11.549999999999999">
      <c r="A223" s="993"/>
      <c r="B223" s="1642"/>
      <c r="C223" s="1642"/>
      <c r="D223" s="357"/>
      <c r="K223" s="1166"/>
      <c r="L223" s="1642"/>
      <c r="M223" s="1642"/>
      <c r="N223" s="1166"/>
      <c r="O223" s="1166"/>
      <c r="P223" s="1166"/>
      <c r="Q223" s="1166"/>
      <c r="R223" s="1642"/>
      <c r="S223" s="1166"/>
      <c r="T223" s="1166"/>
      <c r="U223" s="550"/>
      <c r="V223" s="1166"/>
      <c r="W223" s="1166"/>
      <c r="X223" s="1166"/>
      <c r="Y223" s="1166"/>
      <c r="Z223" s="1166"/>
      <c r="AA223" s="1638"/>
      <c r="AB223" s="572"/>
      <c r="AC223" s="572"/>
      <c r="AD223" s="572"/>
      <c r="AE223" s="572"/>
      <c r="AF223" s="1647">
        <v>11</v>
      </c>
    </row>
    <row s="1647" customFormat="1" customHeight="1" ht="11.549999999999999">
      <c r="A224" s="993"/>
      <c r="B224" s="1642"/>
      <c r="C224" s="1642"/>
      <c r="D224" s="357"/>
      <c r="K224" s="1166"/>
      <c r="L224" s="1642"/>
      <c r="M224" s="1642"/>
      <c r="N224" s="1166"/>
      <c r="O224" s="1166"/>
      <c r="P224" s="1166"/>
      <c r="Q224" s="1166"/>
      <c r="R224" s="1642"/>
      <c r="S224" s="1166"/>
      <c r="T224" s="1166"/>
      <c r="U224" s="550"/>
      <c r="V224" s="1166"/>
      <c r="W224" s="1166"/>
      <c r="X224" s="1166"/>
      <c r="Y224" s="1166"/>
      <c r="Z224" s="1166"/>
      <c r="AA224" s="1638"/>
      <c r="AB224" s="572"/>
      <c r="AC224" s="572"/>
      <c r="AD224" s="572"/>
      <c r="AE224" s="572"/>
      <c r="AF224" s="1647">
        <v>11</v>
      </c>
    </row>
    <row s="1647" customFormat="1" customHeight="1" ht="11.549999999999999">
      <c r="A225" s="993"/>
      <c r="B225" s="1642"/>
      <c r="C225" s="1642"/>
      <c r="D225" s="357"/>
      <c r="K225" s="1166"/>
      <c r="L225" s="1642"/>
      <c r="M225" s="1642"/>
      <c r="N225" s="1166"/>
      <c r="O225" s="1166"/>
      <c r="P225" s="1166"/>
      <c r="Q225" s="1166"/>
      <c r="R225" s="1642"/>
      <c r="S225" s="1166"/>
      <c r="T225" s="1166"/>
      <c r="U225" s="550"/>
      <c r="V225" s="1166"/>
      <c r="W225" s="1166"/>
      <c r="X225" s="1166"/>
      <c r="Y225" s="1166"/>
      <c r="Z225" s="1166"/>
      <c r="AA225" s="1638"/>
      <c r="AB225" s="572"/>
      <c r="AC225" s="572"/>
      <c r="AD225" s="572"/>
      <c r="AE225" s="572"/>
      <c r="AF225" s="1647">
        <v>11</v>
      </c>
    </row>
    <row s="1647" customFormat="1" customHeight="1" ht="11.549999999999999">
      <c r="A226" s="993"/>
      <c r="B226" s="1642"/>
      <c r="C226" s="1642"/>
      <c r="D226" s="357"/>
      <c r="K226" s="1166"/>
      <c r="L226" s="1642"/>
      <c r="M226" s="1642"/>
      <c r="N226" s="1166"/>
      <c r="O226" s="1166"/>
      <c r="P226" s="1166"/>
      <c r="Q226" s="1166"/>
      <c r="R226" s="1642"/>
      <c r="S226" s="1166"/>
      <c r="T226" s="1166"/>
      <c r="U226" s="550"/>
      <c r="V226" s="1166"/>
      <c r="W226" s="1166"/>
      <c r="X226" s="1166"/>
      <c r="Y226" s="1166"/>
      <c r="Z226" s="1166"/>
      <c r="AA226" s="1638"/>
      <c r="AB226" s="572"/>
      <c r="AC226" s="572"/>
      <c r="AD226" s="572"/>
      <c r="AE226" s="572"/>
      <c r="AF226" s="1647">
        <v>11</v>
      </c>
    </row>
    <row s="1647" customFormat="1" customHeight="1" ht="11.549999999999999">
      <c r="A227" s="993"/>
      <c r="B227" s="1642"/>
      <c r="C227" s="1642"/>
      <c r="D227" s="357"/>
      <c r="K227" s="1166"/>
      <c r="L227" s="1642"/>
      <c r="M227" s="1642"/>
      <c r="N227" s="1166"/>
      <c r="O227" s="1166"/>
      <c r="P227" s="1166"/>
      <c r="Q227" s="1166"/>
      <c r="R227" s="1642"/>
      <c r="S227" s="1166"/>
      <c r="T227" s="1166"/>
      <c r="U227" s="550"/>
      <c r="V227" s="1166"/>
      <c r="W227" s="1166"/>
      <c r="X227" s="1166"/>
      <c r="Y227" s="1166"/>
      <c r="Z227" s="1166"/>
      <c r="AA227" s="1638"/>
      <c r="AB227" s="572"/>
      <c r="AC227" s="572"/>
      <c r="AD227" s="572"/>
      <c r="AE227" s="572"/>
      <c r="AF227" s="1647">
        <v>11</v>
      </c>
    </row>
    <row s="1647" customFormat="1" customHeight="1" ht="11.549999999999999">
      <c r="A228" s="993"/>
      <c r="B228" s="1642"/>
      <c r="C228" s="1642"/>
      <c r="D228" s="357"/>
      <c r="K228" s="1166"/>
      <c r="L228" s="1642"/>
      <c r="M228" s="1642"/>
      <c r="N228" s="1166"/>
      <c r="O228" s="1166"/>
      <c r="P228" s="1166"/>
      <c r="Q228" s="1166"/>
      <c r="R228" s="1642"/>
      <c r="S228" s="1166"/>
      <c r="T228" s="1166"/>
      <c r="U228" s="550"/>
      <c r="V228" s="1166"/>
      <c r="W228" s="1166"/>
      <c r="X228" s="1166"/>
      <c r="Y228" s="1166"/>
      <c r="Z228" s="1166"/>
      <c r="AA228" s="1638"/>
      <c r="AB228" s="572"/>
      <c r="AC228" s="572"/>
      <c r="AD228" s="572"/>
      <c r="AE228" s="572"/>
      <c r="AF228" s="1647">
        <v>11</v>
      </c>
    </row>
    <row s="1647" customFormat="1" customHeight="1" ht="11.549999999999999">
      <c r="A229" s="993"/>
      <c r="B229" s="1642"/>
      <c r="C229" s="1642"/>
      <c r="D229" s="357"/>
      <c r="K229" s="1166"/>
      <c r="L229" s="1642"/>
      <c r="M229" s="1642"/>
      <c r="N229" s="1166"/>
      <c r="O229" s="1166"/>
      <c r="P229" s="1166"/>
      <c r="Q229" s="1166"/>
      <c r="R229" s="1642"/>
      <c r="S229" s="1166"/>
      <c r="T229" s="1166"/>
      <c r="U229" s="550"/>
      <c r="V229" s="1166"/>
      <c r="W229" s="1166"/>
      <c r="X229" s="1166"/>
      <c r="Y229" s="1166"/>
      <c r="Z229" s="1166"/>
      <c r="AA229" s="1638"/>
      <c r="AB229" s="572"/>
      <c r="AC229" s="572"/>
      <c r="AD229" s="572"/>
      <c r="AE229" s="572"/>
      <c r="AF229" s="1647">
        <v>11</v>
      </c>
    </row>
    <row s="1647" customFormat="1" customHeight="1" ht="11.549999999999999">
      <c r="A230" s="993"/>
      <c r="B230" s="1642"/>
      <c r="C230" s="1642"/>
      <c r="D230" s="357"/>
      <c r="K230" s="1166"/>
      <c r="L230" s="1642"/>
      <c r="M230" s="1642"/>
      <c r="N230" s="1166"/>
      <c r="O230" s="1166"/>
      <c r="P230" s="1166"/>
      <c r="Q230" s="1166"/>
      <c r="R230" s="1642"/>
      <c r="S230" s="1166"/>
      <c r="T230" s="1166"/>
      <c r="U230" s="550"/>
      <c r="V230" s="1166"/>
      <c r="W230" s="1166"/>
      <c r="X230" s="1166"/>
      <c r="Y230" s="1166"/>
      <c r="Z230" s="1166"/>
      <c r="AA230" s="1638"/>
      <c r="AB230" s="572"/>
      <c r="AC230" s="572"/>
      <c r="AD230" s="572"/>
      <c r="AE230" s="572"/>
      <c r="AF230" s="1647">
        <v>11</v>
      </c>
    </row>
    <row s="1647" customFormat="1" customHeight="1" ht="11.549999999999999">
      <c r="A231" s="993"/>
      <c r="B231" s="1642"/>
      <c r="C231" s="1642"/>
      <c r="D231" s="357"/>
      <c r="K231" s="1166"/>
      <c r="L231" s="1642"/>
      <c r="M231" s="1642"/>
      <c r="N231" s="1166"/>
      <c r="O231" s="1166"/>
      <c r="P231" s="1166"/>
      <c r="Q231" s="1166"/>
      <c r="R231" s="1642"/>
      <c r="S231" s="1166"/>
      <c r="T231" s="1166"/>
      <c r="U231" s="550"/>
      <c r="V231" s="1166"/>
      <c r="W231" s="1166"/>
      <c r="X231" s="1166"/>
      <c r="Y231" s="1166"/>
      <c r="Z231" s="1166"/>
      <c r="AA231" s="1638"/>
      <c r="AB231" s="572"/>
      <c r="AC231" s="572"/>
      <c r="AD231" s="572"/>
      <c r="AE231" s="572"/>
      <c r="AF231" s="1647">
        <v>11</v>
      </c>
    </row>
    <row s="1647" customFormat="1" customHeight="1" ht="11.549999999999999">
      <c r="A232" s="993"/>
      <c r="B232" s="1642"/>
      <c r="C232" s="1642"/>
      <c r="D232" s="357"/>
      <c r="K232" s="1166"/>
      <c r="L232" s="1642"/>
      <c r="M232" s="1642"/>
      <c r="N232" s="1166"/>
      <c r="O232" s="1166"/>
      <c r="P232" s="1166"/>
      <c r="Q232" s="1166"/>
      <c r="R232" s="1642"/>
      <c r="S232" s="1166"/>
      <c r="T232" s="1166"/>
      <c r="U232" s="550"/>
      <c r="V232" s="1166"/>
      <c r="W232" s="1166"/>
      <c r="X232" s="1166"/>
      <c r="Y232" s="1166"/>
      <c r="Z232" s="1166"/>
      <c r="AA232" s="1638"/>
      <c r="AB232" s="572"/>
      <c r="AC232" s="572"/>
      <c r="AD232" s="572"/>
      <c r="AE232" s="572"/>
      <c r="AF232" s="1647">
        <v>11</v>
      </c>
    </row>
    <row s="1647" customFormat="1" customHeight="1" ht="11.549999999999999">
      <c r="A233" s="993"/>
      <c r="B233" s="1642"/>
      <c r="C233" s="1642"/>
      <c r="D233" s="357"/>
      <c r="K233" s="1166"/>
      <c r="L233" s="1642"/>
      <c r="M233" s="1642"/>
      <c r="N233" s="1166"/>
      <c r="O233" s="1166"/>
      <c r="P233" s="1166"/>
      <c r="Q233" s="1166"/>
      <c r="R233" s="1642"/>
      <c r="S233" s="1166"/>
      <c r="T233" s="1166"/>
      <c r="U233" s="550"/>
      <c r="V233" s="1166"/>
      <c r="W233" s="1166"/>
      <c r="X233" s="1166"/>
      <c r="Y233" s="1166"/>
      <c r="Z233" s="1166"/>
      <c r="AA233" s="1638"/>
      <c r="AB233" s="572"/>
      <c r="AC233" s="572"/>
      <c r="AD233" s="572"/>
      <c r="AE233" s="572"/>
      <c r="AF233" s="1647">
        <v>11</v>
      </c>
    </row>
    <row s="1647" customFormat="1" customHeight="1" ht="11.549999999999999">
      <c r="A234" s="993"/>
      <c r="B234" s="1642"/>
      <c r="C234" s="1642"/>
      <c r="D234" s="357"/>
      <c r="K234" s="1166"/>
      <c r="L234" s="1642"/>
      <c r="M234" s="1642"/>
      <c r="N234" s="1166"/>
      <c r="O234" s="1166"/>
      <c r="P234" s="1166"/>
      <c r="Q234" s="1166"/>
      <c r="R234" s="1642"/>
      <c r="S234" s="1166"/>
      <c r="T234" s="1166"/>
      <c r="U234" s="550"/>
      <c r="V234" s="1166"/>
      <c r="W234" s="1166"/>
      <c r="X234" s="1166"/>
      <c r="Y234" s="1166"/>
      <c r="Z234" s="1166"/>
      <c r="AA234" s="1638"/>
      <c r="AB234" s="572"/>
      <c r="AC234" s="572"/>
      <c r="AD234" s="572"/>
      <c r="AE234" s="572"/>
      <c r="AF234" s="1647">
        <v>11</v>
      </c>
    </row>
    <row s="1647" customFormat="1" customHeight="1" ht="11.549999999999999">
      <c r="A235" s="993"/>
      <c r="B235" s="1642"/>
      <c r="C235" s="1642"/>
      <c r="D235" s="357"/>
      <c r="K235" s="1166"/>
      <c r="L235" s="1642"/>
      <c r="M235" s="1642"/>
      <c r="N235" s="1166"/>
      <c r="O235" s="1166"/>
      <c r="P235" s="1166"/>
      <c r="Q235" s="1166"/>
      <c r="R235" s="1642"/>
      <c r="S235" s="1166"/>
      <c r="T235" s="1166"/>
      <c r="U235" s="550"/>
      <c r="V235" s="1166"/>
      <c r="W235" s="1166"/>
      <c r="X235" s="1166"/>
      <c r="Y235" s="1166"/>
      <c r="Z235" s="1166"/>
      <c r="AA235" s="1638"/>
      <c r="AB235" s="572"/>
      <c r="AC235" s="572"/>
      <c r="AD235" s="572"/>
      <c r="AE235" s="572"/>
      <c r="AF235" s="1647">
        <v>11</v>
      </c>
    </row>
    <row s="1647" customFormat="1" customHeight="1" ht="11.549999999999999">
      <c r="A236" s="993"/>
      <c r="B236" s="1642"/>
      <c r="C236" s="1642"/>
      <c r="D236" s="357"/>
      <c r="K236" s="1166"/>
      <c r="L236" s="1642"/>
      <c r="M236" s="1642"/>
      <c r="N236" s="1166"/>
      <c r="O236" s="1166"/>
      <c r="P236" s="1166"/>
      <c r="Q236" s="1166"/>
      <c r="R236" s="1642"/>
      <c r="S236" s="1166"/>
      <c r="T236" s="1166"/>
      <c r="U236" s="550"/>
      <c r="V236" s="1166"/>
      <c r="W236" s="1166"/>
      <c r="X236" s="1166"/>
      <c r="Y236" s="1166"/>
      <c r="Z236" s="1166"/>
      <c r="AA236" s="1638"/>
      <c r="AB236" s="572"/>
      <c r="AC236" s="572"/>
      <c r="AD236" s="572"/>
      <c r="AE236" s="572"/>
      <c r="AF236" s="1647">
        <v>11</v>
      </c>
    </row>
    <row s="1647" customFormat="1" customHeight="1" ht="11.549999999999999">
      <c r="A237" s="993"/>
      <c r="B237" s="1642"/>
      <c r="C237" s="1642"/>
      <c r="D237" s="357"/>
      <c r="K237" s="1166"/>
      <c r="L237" s="1642"/>
      <c r="M237" s="1642"/>
      <c r="N237" s="1166"/>
      <c r="O237" s="1166"/>
      <c r="P237" s="1166"/>
      <c r="Q237" s="1166"/>
      <c r="R237" s="1642"/>
      <c r="S237" s="1166"/>
      <c r="T237" s="1166"/>
      <c r="U237" s="550"/>
      <c r="V237" s="1166"/>
      <c r="W237" s="1166"/>
      <c r="X237" s="1166"/>
      <c r="Y237" s="1166"/>
      <c r="Z237" s="1166"/>
      <c r="AA237" s="1638"/>
      <c r="AB237" s="572"/>
      <c r="AC237" s="572"/>
      <c r="AD237" s="572"/>
      <c r="AE237" s="572"/>
      <c r="AF237" s="1647">
        <v>11</v>
      </c>
    </row>
    <row s="1647" customFormat="1" customHeight="1" ht="11.549999999999999">
      <c r="A238" s="993"/>
      <c r="B238" s="1642"/>
      <c r="C238" s="1642"/>
      <c r="D238" s="357"/>
      <c r="K238" s="1166"/>
      <c r="L238" s="1642"/>
      <c r="M238" s="1642"/>
      <c r="N238" s="1166"/>
      <c r="O238" s="1166"/>
      <c r="P238" s="1166"/>
      <c r="Q238" s="1166"/>
      <c r="R238" s="1642"/>
      <c r="S238" s="1166"/>
      <c r="T238" s="1166"/>
      <c r="U238" s="550"/>
      <c r="V238" s="1166"/>
      <c r="W238" s="1166"/>
      <c r="X238" s="1166"/>
      <c r="Y238" s="1166"/>
      <c r="Z238" s="1166"/>
      <c r="AA238" s="1638"/>
      <c r="AB238" s="572"/>
      <c r="AC238" s="572"/>
      <c r="AD238" s="572"/>
      <c r="AE238" s="572"/>
      <c r="AF238" s="1647">
        <v>11</v>
      </c>
    </row>
    <row s="1647" customFormat="1" customHeight="1" ht="11.549999999999999">
      <c r="A239" s="993"/>
      <c r="B239" s="1642"/>
      <c r="C239" s="1642"/>
      <c r="D239" s="357"/>
      <c r="K239" s="1166"/>
      <c r="L239" s="1642"/>
      <c r="M239" s="1642"/>
      <c r="N239" s="1166"/>
      <c r="O239" s="1166"/>
      <c r="P239" s="1166"/>
      <c r="Q239" s="1166"/>
      <c r="R239" s="1642"/>
      <c r="S239" s="1166"/>
      <c r="T239" s="1166"/>
      <c r="U239" s="550"/>
      <c r="V239" s="1166"/>
      <c r="W239" s="1166"/>
      <c r="X239" s="1166"/>
      <c r="Y239" s="1166"/>
      <c r="Z239" s="1166"/>
      <c r="AA239" s="1638"/>
      <c r="AB239" s="572"/>
      <c r="AC239" s="572"/>
      <c r="AD239" s="572"/>
      <c r="AE239" s="572"/>
      <c r="AF239" s="1647">
        <v>11</v>
      </c>
    </row>
    <row s="1647" customFormat="1" customHeight="1" ht="11.549999999999999">
      <c r="A240" s="993"/>
      <c r="B240" s="1642"/>
      <c r="C240" s="1642"/>
      <c r="D240" s="357"/>
      <c r="K240" s="1166"/>
      <c r="L240" s="1642"/>
      <c r="M240" s="1642"/>
      <c r="N240" s="1166"/>
      <c r="O240" s="1166"/>
      <c r="P240" s="1166"/>
      <c r="Q240" s="1166"/>
      <c r="R240" s="1642"/>
      <c r="S240" s="1166"/>
      <c r="T240" s="1166"/>
      <c r="U240" s="550"/>
      <c r="V240" s="1166"/>
      <c r="W240" s="1166"/>
      <c r="X240" s="1166"/>
      <c r="Y240" s="1166"/>
      <c r="Z240" s="1166"/>
      <c r="AA240" s="1638"/>
      <c r="AB240" s="572"/>
      <c r="AC240" s="572"/>
      <c r="AD240" s="572"/>
      <c r="AE240" s="572"/>
      <c r="AF240" s="1647">
        <v>11</v>
      </c>
    </row>
    <row s="1647" customFormat="1" customHeight="1" ht="11.549999999999999">
      <c r="A241" s="993"/>
      <c r="B241" s="1642"/>
      <c r="C241" s="1642"/>
      <c r="D241" s="357"/>
      <c r="K241" s="1166"/>
      <c r="L241" s="1642"/>
      <c r="M241" s="1642"/>
      <c r="N241" s="1166"/>
      <c r="O241" s="1166"/>
      <c r="P241" s="1166"/>
      <c r="Q241" s="1166"/>
      <c r="R241" s="1642"/>
      <c r="S241" s="1166"/>
      <c r="T241" s="1166"/>
      <c r="U241" s="550"/>
      <c r="V241" s="1166"/>
      <c r="W241" s="1166"/>
      <c r="X241" s="1166"/>
      <c r="Y241" s="1166"/>
      <c r="Z241" s="1166"/>
      <c r="AA241" s="1638"/>
      <c r="AB241" s="572"/>
      <c r="AC241" s="572"/>
      <c r="AD241" s="572"/>
      <c r="AE241" s="572"/>
      <c r="AF241" s="1647">
        <v>11</v>
      </c>
    </row>
    <row s="1647" customFormat="1" customHeight="1" ht="11.549999999999999">
      <c r="A242" s="993"/>
      <c r="B242" s="1642"/>
      <c r="C242" s="1642"/>
      <c r="D242" s="357"/>
      <c r="K242" s="1166"/>
      <c r="L242" s="1642"/>
      <c r="M242" s="1642"/>
      <c r="N242" s="1166"/>
      <c r="O242" s="1166"/>
      <c r="P242" s="1166"/>
      <c r="Q242" s="1166"/>
      <c r="R242" s="1642"/>
      <c r="S242" s="1166"/>
      <c r="T242" s="1166"/>
      <c r="U242" s="550"/>
      <c r="V242" s="1166"/>
      <c r="W242" s="1166"/>
      <c r="X242" s="1166"/>
      <c r="Y242" s="1166"/>
      <c r="Z242" s="1166"/>
      <c r="AA242" s="1638"/>
      <c r="AB242" s="572"/>
      <c r="AC242" s="572"/>
      <c r="AD242" s="572"/>
      <c r="AE242" s="572"/>
      <c r="AF242" s="1647">
        <v>11</v>
      </c>
    </row>
    <row s="1647" customFormat="1" customHeight="1" ht="11.549999999999999">
      <c r="A243" s="993"/>
      <c r="B243" s="1642"/>
      <c r="C243" s="1642"/>
      <c r="D243" s="357"/>
      <c r="K243" s="1166"/>
      <c r="L243" s="1642"/>
      <c r="M243" s="1642"/>
      <c r="N243" s="1166"/>
      <c r="O243" s="1166"/>
      <c r="P243" s="1166"/>
      <c r="Q243" s="1166"/>
      <c r="R243" s="1642"/>
      <c r="S243" s="1166"/>
      <c r="T243" s="1166"/>
      <c r="U243" s="550"/>
      <c r="V243" s="1166"/>
      <c r="W243" s="1166"/>
      <c r="X243" s="1166"/>
      <c r="Y243" s="1166"/>
      <c r="Z243" s="1166"/>
      <c r="AA243" s="1638"/>
      <c r="AB243" s="572"/>
      <c r="AC243" s="572"/>
      <c r="AD243" s="572"/>
      <c r="AE243" s="572"/>
      <c r="AF243" s="1647">
        <v>11</v>
      </c>
    </row>
    <row s="1647" customFormat="1" customHeight="1" ht="11.549999999999999">
      <c r="A244" s="993"/>
      <c r="B244" s="1642"/>
      <c r="C244" s="1642"/>
      <c r="D244" s="357"/>
      <c r="K244" s="1166"/>
      <c r="L244" s="1642"/>
      <c r="M244" s="1642"/>
      <c r="N244" s="1166"/>
      <c r="O244" s="1166"/>
      <c r="P244" s="1166"/>
      <c r="Q244" s="1166"/>
      <c r="R244" s="1642"/>
      <c r="S244" s="1166"/>
      <c r="T244" s="1166"/>
      <c r="U244" s="550"/>
      <c r="V244" s="1166"/>
      <c r="W244" s="1166"/>
      <c r="X244" s="1166"/>
      <c r="Y244" s="1166"/>
      <c r="Z244" s="1166"/>
      <c r="AA244" s="1638"/>
      <c r="AB244" s="572"/>
      <c r="AC244" s="572"/>
      <c r="AD244" s="572"/>
      <c r="AE244" s="572"/>
      <c r="AF244" s="1647">
        <v>11</v>
      </c>
    </row>
    <row s="1647" customFormat="1" customHeight="1" ht="11.549999999999999">
      <c r="A245" s="993"/>
      <c r="B245" s="1642"/>
      <c r="C245" s="1642"/>
      <c r="D245" s="357"/>
      <c r="K245" s="1166"/>
      <c r="L245" s="1642"/>
      <c r="M245" s="1642"/>
      <c r="N245" s="1166"/>
      <c r="O245" s="1166"/>
      <c r="P245" s="1166"/>
      <c r="Q245" s="1166"/>
      <c r="R245" s="1642"/>
      <c r="S245" s="1166"/>
      <c r="T245" s="1166"/>
      <c r="U245" s="550"/>
      <c r="V245" s="1166"/>
      <c r="W245" s="1166"/>
      <c r="X245" s="1166"/>
      <c r="Y245" s="1166"/>
      <c r="Z245" s="1166"/>
      <c r="AA245" s="1638"/>
      <c r="AB245" s="572"/>
      <c r="AC245" s="572"/>
      <c r="AD245" s="572"/>
      <c r="AE245" s="572"/>
      <c r="AF245" s="1647">
        <v>11</v>
      </c>
    </row>
    <row s="1647" customFormat="1" customHeight="1" ht="11.549999999999999">
      <c r="A246" s="993"/>
      <c r="B246" s="1642"/>
      <c r="C246" s="1642"/>
      <c r="D246" s="357"/>
      <c r="K246" s="1166"/>
      <c r="L246" s="1642"/>
      <c r="M246" s="1642"/>
      <c r="N246" s="1166"/>
      <c r="O246" s="1166"/>
      <c r="P246" s="1166"/>
      <c r="Q246" s="1166"/>
      <c r="R246" s="1642"/>
      <c r="S246" s="1166"/>
      <c r="T246" s="1166"/>
      <c r="U246" s="550"/>
      <c r="V246" s="1166"/>
      <c r="W246" s="1166"/>
      <c r="X246" s="1166"/>
      <c r="Y246" s="1166"/>
      <c r="Z246" s="1166"/>
      <c r="AA246" s="1638"/>
      <c r="AB246" s="572"/>
      <c r="AC246" s="572"/>
      <c r="AD246" s="572"/>
      <c r="AE246" s="572"/>
      <c r="AF246" s="1647">
        <v>11</v>
      </c>
    </row>
    <row s="1647" customFormat="1" customHeight="1" ht="11.549999999999999">
      <c r="A247" s="993"/>
      <c r="B247" s="1642"/>
      <c r="C247" s="1642"/>
      <c r="D247" s="357"/>
      <c r="K247" s="1166"/>
      <c r="L247" s="1642"/>
      <c r="M247" s="1642"/>
      <c r="N247" s="1166"/>
      <c r="O247" s="1166"/>
      <c r="P247" s="1166"/>
      <c r="Q247" s="1166"/>
      <c r="R247" s="1642"/>
      <c r="S247" s="1166"/>
      <c r="T247" s="1166"/>
      <c r="U247" s="550"/>
      <c r="V247" s="1166"/>
      <c r="W247" s="1166"/>
      <c r="X247" s="1166"/>
      <c r="Y247" s="1166"/>
      <c r="Z247" s="1166"/>
      <c r="AA247" s="1638"/>
      <c r="AB247" s="572"/>
      <c r="AC247" s="572"/>
      <c r="AD247" s="572"/>
      <c r="AE247" s="572"/>
      <c r="AF247" s="1647">
        <v>11</v>
      </c>
    </row>
    <row s="1647" customFormat="1" customHeight="1" ht="11.549999999999999">
      <c r="A248" s="993"/>
      <c r="B248" s="1642"/>
      <c r="C248" s="1642"/>
      <c r="D248" s="357"/>
      <c r="K248" s="1166"/>
      <c r="L248" s="1642"/>
      <c r="M248" s="1642"/>
      <c r="N248" s="1166"/>
      <c r="O248" s="1166"/>
      <c r="P248" s="1166"/>
      <c r="Q248" s="1166"/>
      <c r="R248" s="1642"/>
      <c r="S248" s="1166"/>
      <c r="T248" s="1166"/>
      <c r="U248" s="550"/>
      <c r="V248" s="1166"/>
      <c r="W248" s="1166"/>
      <c r="X248" s="1166"/>
      <c r="Y248" s="1166"/>
      <c r="Z248" s="1166"/>
      <c r="AA248" s="1638"/>
      <c r="AB248" s="572"/>
      <c r="AC248" s="572"/>
      <c r="AD248" s="572"/>
      <c r="AE248" s="572"/>
      <c r="AF248" s="1647">
        <v>11</v>
      </c>
    </row>
    <row s="1647" customFormat="1" customHeight="1" ht="11.549999999999999">
      <c r="A249" s="993"/>
      <c r="B249" s="1642"/>
      <c r="C249" s="1642"/>
      <c r="D249" s="357"/>
      <c r="K249" s="1166"/>
      <c r="L249" s="1642"/>
      <c r="M249" s="1642"/>
      <c r="N249" s="1166"/>
      <c r="O249" s="1166"/>
      <c r="P249" s="1166"/>
      <c r="Q249" s="1166"/>
      <c r="R249" s="1642"/>
      <c r="S249" s="1166"/>
      <c r="T249" s="1166"/>
      <c r="U249" s="550"/>
      <c r="V249" s="1166"/>
      <c r="W249" s="1166"/>
      <c r="X249" s="1166"/>
      <c r="Y249" s="1166"/>
      <c r="Z249" s="1166"/>
      <c r="AA249" s="1638"/>
      <c r="AB249" s="572"/>
      <c r="AC249" s="572"/>
      <c r="AD249" s="572"/>
      <c r="AE249" s="572"/>
      <c r="AF249" s="1647">
        <v>11</v>
      </c>
    </row>
    <row s="1647" customFormat="1" customHeight="1" ht="11.549999999999999">
      <c r="A250" s="993"/>
      <c r="B250" s="1642"/>
      <c r="C250" s="1642"/>
      <c r="D250" s="357"/>
      <c r="K250" s="1166"/>
      <c r="L250" s="1642"/>
      <c r="M250" s="1642"/>
      <c r="N250" s="1166"/>
      <c r="O250" s="1166"/>
      <c r="P250" s="1166"/>
      <c r="Q250" s="1166"/>
      <c r="R250" s="1642"/>
      <c r="S250" s="1166"/>
      <c r="T250" s="1166"/>
      <c r="U250" s="550"/>
      <c r="V250" s="1166"/>
      <c r="W250" s="1166"/>
      <c r="X250" s="1166"/>
      <c r="Y250" s="1166"/>
      <c r="Z250" s="1166"/>
      <c r="AA250" s="1638"/>
      <c r="AB250" s="572"/>
      <c r="AC250" s="572"/>
      <c r="AD250" s="572"/>
      <c r="AE250" s="572"/>
      <c r="AF250" s="1647">
        <v>11</v>
      </c>
    </row>
    <row s="1647" customFormat="1" customHeight="1" ht="11.549999999999999">
      <c r="A251" s="993"/>
      <c r="B251" s="1642"/>
      <c r="C251" s="1642"/>
      <c r="D251" s="357"/>
      <c r="K251" s="1166"/>
      <c r="L251" s="1642"/>
      <c r="M251" s="1642"/>
      <c r="N251" s="1166"/>
      <c r="O251" s="1166"/>
      <c r="P251" s="1166"/>
      <c r="Q251" s="1166"/>
      <c r="R251" s="1642"/>
      <c r="S251" s="1166"/>
      <c r="T251" s="1166"/>
      <c r="U251" s="550"/>
      <c r="V251" s="1166"/>
      <c r="W251" s="1166"/>
      <c r="X251" s="1166"/>
      <c r="Y251" s="1166"/>
      <c r="Z251" s="1166"/>
      <c r="AA251" s="1638"/>
      <c r="AB251" s="572"/>
      <c r="AC251" s="572"/>
      <c r="AD251" s="572"/>
      <c r="AE251" s="572"/>
      <c r="AF251" s="1647">
        <v>11</v>
      </c>
    </row>
    <row s="1647" customFormat="1" customHeight="1" ht="11.549999999999999">
      <c r="A252" s="993"/>
      <c r="B252" s="1642"/>
      <c r="C252" s="1642"/>
      <c r="D252" s="357"/>
      <c r="K252" s="1166"/>
      <c r="L252" s="1642"/>
      <c r="M252" s="1642"/>
      <c r="N252" s="1166"/>
      <c r="O252" s="1166"/>
      <c r="P252" s="1166"/>
      <c r="Q252" s="1166"/>
      <c r="R252" s="1642"/>
      <c r="S252" s="1166"/>
      <c r="T252" s="1166"/>
      <c r="U252" s="550"/>
      <c r="V252" s="1166"/>
      <c r="W252" s="1166"/>
      <c r="X252" s="1166"/>
      <c r="Y252" s="1166"/>
      <c r="Z252" s="1166"/>
      <c r="AA252" s="1638"/>
      <c r="AB252" s="572"/>
      <c r="AC252" s="572"/>
      <c r="AD252" s="572"/>
      <c r="AE252" s="572"/>
      <c r="AF252" s="1647">
        <v>11</v>
      </c>
    </row>
    <row s="1647" customFormat="1" customHeight="1" ht="11.549999999999999">
      <c r="A253" s="993"/>
      <c r="B253" s="1642"/>
      <c r="C253" s="1642"/>
      <c r="D253" s="357"/>
      <c r="K253" s="1166"/>
      <c r="L253" s="1642"/>
      <c r="M253" s="1642"/>
      <c r="N253" s="1166"/>
      <c r="O253" s="1166"/>
      <c r="P253" s="1166"/>
      <c r="Q253" s="1166"/>
      <c r="R253" s="1642"/>
      <c r="S253" s="1166"/>
      <c r="T253" s="1166"/>
      <c r="U253" s="550"/>
      <c r="V253" s="1166"/>
      <c r="W253" s="1166"/>
      <c r="X253" s="1166"/>
      <c r="Y253" s="1166"/>
      <c r="Z253" s="1166"/>
      <c r="AA253" s="1638"/>
      <c r="AB253" s="572"/>
      <c r="AC253" s="572"/>
      <c r="AD253" s="572"/>
      <c r="AE253" s="572"/>
      <c r="AF253" s="1647">
        <v>11</v>
      </c>
    </row>
    <row s="1647" customFormat="1" customHeight="1" ht="11.549999999999999">
      <c r="A254" s="993"/>
      <c r="B254" s="1642"/>
      <c r="C254" s="1642"/>
      <c r="D254" s="357"/>
      <c r="K254" s="1166"/>
      <c r="L254" s="1642"/>
      <c r="M254" s="1642"/>
      <c r="N254" s="1166"/>
      <c r="O254" s="1166"/>
      <c r="P254" s="1166"/>
      <c r="Q254" s="1166"/>
      <c r="R254" s="1642"/>
      <c r="S254" s="1166"/>
      <c r="T254" s="1166"/>
      <c r="U254" s="550"/>
      <c r="V254" s="1166"/>
      <c r="W254" s="1166"/>
      <c r="X254" s="1166"/>
      <c r="Y254" s="1166"/>
      <c r="Z254" s="1166"/>
      <c r="AA254" s="1638"/>
      <c r="AB254" s="572"/>
      <c r="AC254" s="572"/>
      <c r="AD254" s="572"/>
      <c r="AE254" s="572"/>
      <c r="AF254" s="1647">
        <v>11</v>
      </c>
    </row>
    <row s="1647" customFormat="1" customHeight="1" ht="11.549999999999999">
      <c r="A255" s="993"/>
      <c r="B255" s="1642"/>
      <c r="C255" s="1642"/>
      <c r="D255" s="357"/>
      <c r="K255" s="1166"/>
      <c r="L255" s="1642"/>
      <c r="M255" s="1642"/>
      <c r="N255" s="1166"/>
      <c r="O255" s="1166"/>
      <c r="P255" s="1166"/>
      <c r="Q255" s="1166"/>
      <c r="R255" s="1642"/>
      <c r="S255" s="1166"/>
      <c r="T255" s="1166"/>
      <c r="U255" s="550"/>
      <c r="V255" s="1166"/>
      <c r="W255" s="1166"/>
      <c r="X255" s="1166"/>
      <c r="Y255" s="1166"/>
      <c r="Z255" s="1166"/>
      <c r="AA255" s="1638"/>
      <c r="AB255" s="572"/>
      <c r="AC255" s="572"/>
      <c r="AD255" s="572"/>
      <c r="AE255" s="572"/>
      <c r="AF255" s="1647">
        <v>11</v>
      </c>
    </row>
    <row s="1647" customFormat="1" customHeight="1" ht="11.549999999999999">
      <c r="A256" s="993"/>
      <c r="B256" s="1642"/>
      <c r="C256" s="1642"/>
      <c r="D256" s="357"/>
      <c r="K256" s="1166"/>
      <c r="L256" s="1642"/>
      <c r="M256" s="1642"/>
      <c r="N256" s="1166"/>
      <c r="O256" s="1166"/>
      <c r="P256" s="1166"/>
      <c r="Q256" s="1166"/>
      <c r="R256" s="1642"/>
      <c r="S256" s="1166"/>
      <c r="T256" s="1166"/>
      <c r="U256" s="550"/>
      <c r="V256" s="1166"/>
      <c r="W256" s="1166"/>
      <c r="X256" s="1166"/>
      <c r="Y256" s="1166"/>
      <c r="Z256" s="1166"/>
      <c r="AA256" s="1638"/>
      <c r="AB256" s="572"/>
      <c r="AC256" s="572"/>
      <c r="AD256" s="572"/>
      <c r="AE256" s="572"/>
      <c r="AF256" s="1647">
        <v>11</v>
      </c>
    </row>
    <row s="1647" customFormat="1" customHeight="1" ht="11.549999999999999">
      <c r="A257" s="993"/>
      <c r="B257" s="1642"/>
      <c r="C257" s="1642"/>
      <c r="D257" s="357"/>
      <c r="K257" s="1166"/>
      <c r="L257" s="1642"/>
      <c r="M257" s="1642"/>
      <c r="N257" s="1166"/>
      <c r="O257" s="1166"/>
      <c r="P257" s="1166"/>
      <c r="Q257" s="1166"/>
      <c r="R257" s="1642"/>
      <c r="S257" s="1166"/>
      <c r="T257" s="1166"/>
      <c r="U257" s="550"/>
      <c r="V257" s="1166"/>
      <c r="W257" s="1166"/>
      <c r="X257" s="1166"/>
      <c r="Y257" s="1166"/>
      <c r="Z257" s="1166"/>
      <c r="AA257" s="1638"/>
      <c r="AB257" s="572"/>
      <c r="AC257" s="572"/>
      <c r="AD257" s="572"/>
      <c r="AE257" s="572"/>
      <c r="AF257" s="1647">
        <v>11</v>
      </c>
    </row>
    <row s="1647" customFormat="1" customHeight="1" ht="11.549999999999999">
      <c r="A258" s="993"/>
      <c r="B258" s="1642"/>
      <c r="C258" s="1642"/>
      <c r="D258" s="357"/>
      <c r="K258" s="1166"/>
      <c r="L258" s="1642"/>
      <c r="M258" s="1642"/>
      <c r="N258" s="1166"/>
      <c r="O258" s="1166"/>
      <c r="P258" s="1166"/>
      <c r="Q258" s="1166"/>
      <c r="R258" s="1642"/>
      <c r="S258" s="1166"/>
      <c r="T258" s="1166"/>
      <c r="U258" s="550"/>
      <c r="V258" s="1166"/>
      <c r="W258" s="1166"/>
      <c r="X258" s="1166"/>
      <c r="Y258" s="1166"/>
      <c r="Z258" s="1166"/>
      <c r="AA258" s="1638"/>
      <c r="AB258" s="572"/>
      <c r="AC258" s="572"/>
      <c r="AD258" s="572"/>
      <c r="AE258" s="572"/>
      <c r="AF258" s="1647">
        <v>11</v>
      </c>
    </row>
    <row s="1647" customFormat="1" customHeight="1" ht="11.549999999999999">
      <c r="A259" s="993"/>
      <c r="B259" s="1642"/>
      <c r="C259" s="1642"/>
      <c r="D259" s="357"/>
      <c r="K259" s="1166"/>
      <c r="L259" s="1642"/>
      <c r="M259" s="1642"/>
      <c r="N259" s="1166"/>
      <c r="O259" s="1166"/>
      <c r="P259" s="1166"/>
      <c r="Q259" s="1166"/>
      <c r="R259" s="1642"/>
      <c r="S259" s="1166"/>
      <c r="T259" s="1166"/>
      <c r="U259" s="550"/>
      <c r="V259" s="1166"/>
      <c r="W259" s="1166"/>
      <c r="X259" s="1166"/>
      <c r="Y259" s="1166"/>
      <c r="Z259" s="1166"/>
      <c r="AA259" s="1638"/>
      <c r="AB259" s="572"/>
      <c r="AC259" s="572"/>
      <c r="AD259" s="572"/>
      <c r="AE259" s="572"/>
      <c r="AF259" s="1647">
        <v>11</v>
      </c>
    </row>
    <row s="1647" customFormat="1" customHeight="1" ht="11.549999999999999">
      <c r="A260" s="993"/>
      <c r="B260" s="1642"/>
      <c r="C260" s="1642"/>
      <c r="D260" s="357"/>
      <c r="K260" s="1166"/>
      <c r="L260" s="1642"/>
      <c r="M260" s="1642"/>
      <c r="N260" s="1166"/>
      <c r="O260" s="1166"/>
      <c r="P260" s="1166"/>
      <c r="Q260" s="1166"/>
      <c r="R260" s="1642"/>
      <c r="S260" s="1166"/>
      <c r="T260" s="1166"/>
      <c r="U260" s="550"/>
      <c r="V260" s="1166"/>
      <c r="W260" s="1166"/>
      <c r="X260" s="1166"/>
      <c r="Y260" s="1166"/>
      <c r="Z260" s="1166"/>
      <c r="AA260" s="1638"/>
      <c r="AB260" s="572"/>
      <c r="AC260" s="572"/>
      <c r="AD260" s="572"/>
      <c r="AE260" s="572"/>
      <c r="AF260" s="1647">
        <v>11</v>
      </c>
    </row>
    <row s="1647" customFormat="1" customHeight="1" ht="11.549999999999999">
      <c r="A261" s="993"/>
      <c r="B261" s="1642"/>
      <c r="C261" s="1642"/>
      <c r="D261" s="357"/>
      <c r="K261" s="1166"/>
      <c r="L261" s="1642"/>
      <c r="M261" s="1642"/>
      <c r="N261" s="1166"/>
      <c r="O261" s="1166"/>
      <c r="P261" s="1166"/>
      <c r="Q261" s="1166"/>
      <c r="R261" s="1642"/>
      <c r="S261" s="1166"/>
      <c r="T261" s="1166"/>
      <c r="U261" s="550"/>
      <c r="V261" s="1166"/>
      <c r="W261" s="1166"/>
      <c r="X261" s="1166"/>
      <c r="Y261" s="1166"/>
      <c r="Z261" s="1166"/>
      <c r="AA261" s="1638"/>
      <c r="AB261" s="572"/>
      <c r="AC261" s="572"/>
      <c r="AD261" s="572"/>
      <c r="AE261" s="572"/>
      <c r="AF261" s="1647">
        <v>11</v>
      </c>
    </row>
    <row s="1647" customFormat="1" customHeight="1" ht="11.549999999999999">
      <c r="A262" s="993"/>
      <c r="B262" s="1642"/>
      <c r="C262" s="1642"/>
      <c r="D262" s="357"/>
      <c r="K262" s="1166"/>
      <c r="L262" s="1642"/>
      <c r="M262" s="1642"/>
      <c r="N262" s="1166"/>
      <c r="O262" s="1166"/>
      <c r="P262" s="1166"/>
      <c r="Q262" s="1166"/>
      <c r="R262" s="1642"/>
      <c r="S262" s="1166"/>
      <c r="T262" s="1166"/>
      <c r="U262" s="550"/>
      <c r="V262" s="1166"/>
      <c r="W262" s="1166"/>
      <c r="X262" s="1166"/>
      <c r="Y262" s="1166"/>
      <c r="Z262" s="1166"/>
      <c r="AA262" s="1638"/>
      <c r="AB262" s="572"/>
      <c r="AC262" s="572"/>
      <c r="AD262" s="572"/>
      <c r="AE262" s="572"/>
      <c r="AF262" s="1647">
        <v>11</v>
      </c>
    </row>
    <row s="1647" customFormat="1" customHeight="1" ht="11.549999999999999">
      <c r="A263" s="993"/>
      <c r="B263" s="1642"/>
      <c r="C263" s="1642"/>
      <c r="D263" s="357"/>
      <c r="K263" s="1166"/>
      <c r="L263" s="1642"/>
      <c r="M263" s="1642"/>
      <c r="N263" s="1166"/>
      <c r="O263" s="1166"/>
      <c r="P263" s="1166"/>
      <c r="Q263" s="1166"/>
      <c r="R263" s="1642"/>
      <c r="S263" s="1166"/>
      <c r="T263" s="1166"/>
      <c r="U263" s="550"/>
      <c r="V263" s="1166"/>
      <c r="W263" s="1166"/>
      <c r="X263" s="1166"/>
      <c r="Y263" s="1166"/>
      <c r="Z263" s="1166"/>
      <c r="AA263" s="1638"/>
      <c r="AB263" s="572"/>
      <c r="AC263" s="572"/>
      <c r="AD263" s="572"/>
      <c r="AE263" s="572"/>
      <c r="AF263" s="1647">
        <v>11</v>
      </c>
    </row>
    <row s="1647" customFormat="1" customHeight="1" ht="11.549999999999999">
      <c r="A264" s="993"/>
      <c r="B264" s="1642"/>
      <c r="C264" s="1642"/>
      <c r="D264" s="357"/>
      <c r="K264" s="1166"/>
      <c r="L264" s="1642"/>
      <c r="M264" s="1642"/>
      <c r="N264" s="1166"/>
      <c r="O264" s="1166"/>
      <c r="P264" s="1166"/>
      <c r="Q264" s="1166"/>
      <c r="R264" s="1642"/>
      <c r="S264" s="1166"/>
      <c r="T264" s="1166"/>
      <c r="U264" s="550"/>
      <c r="V264" s="1166"/>
      <c r="W264" s="1166"/>
      <c r="X264" s="1166"/>
      <c r="Y264" s="1166"/>
      <c r="Z264" s="1166"/>
      <c r="AA264" s="1638"/>
      <c r="AB264" s="572"/>
      <c r="AC264" s="572"/>
      <c r="AD264" s="572"/>
      <c r="AE264" s="572"/>
      <c r="AF264" s="1647">
        <v>11</v>
      </c>
    </row>
    <row s="1647" customFormat="1" customHeight="1" ht="11.549999999999999">
      <c r="A265" s="993"/>
      <c r="B265" s="1642"/>
      <c r="C265" s="1642"/>
      <c r="D265" s="357"/>
      <c r="K265" s="1166"/>
      <c r="L265" s="1642"/>
      <c r="M265" s="1642"/>
      <c r="N265" s="1166"/>
      <c r="O265" s="1166"/>
      <c r="P265" s="1166"/>
      <c r="Q265" s="1166"/>
      <c r="R265" s="1642"/>
      <c r="S265" s="1166"/>
      <c r="T265" s="1166"/>
      <c r="U265" s="550"/>
      <c r="V265" s="1166"/>
      <c r="W265" s="1166"/>
      <c r="X265" s="1166"/>
      <c r="Y265" s="1166"/>
      <c r="Z265" s="1166"/>
      <c r="AA265" s="1638"/>
      <c r="AB265" s="572"/>
      <c r="AC265" s="572"/>
      <c r="AD265" s="572"/>
      <c r="AE265" s="572"/>
      <c r="AF265" s="1647">
        <v>11</v>
      </c>
    </row>
    <row s="1647" customFormat="1" customHeight="1" ht="11.549999999999999">
      <c r="A266" s="993"/>
      <c r="B266" s="1642"/>
      <c r="C266" s="1642"/>
      <c r="D266" s="357"/>
      <c r="K266" s="1166"/>
      <c r="L266" s="1642"/>
      <c r="M266" s="1642"/>
      <c r="N266" s="1166"/>
      <c r="O266" s="1166"/>
      <c r="P266" s="1166"/>
      <c r="Q266" s="1166"/>
      <c r="R266" s="1642"/>
      <c r="S266" s="1166"/>
      <c r="T266" s="1166"/>
      <c r="U266" s="550"/>
      <c r="V266" s="1166"/>
      <c r="W266" s="1166"/>
      <c r="X266" s="1166"/>
      <c r="Y266" s="1166"/>
      <c r="Z266" s="1166"/>
      <c r="AA266" s="1638"/>
      <c r="AB266" s="572"/>
      <c r="AC266" s="572"/>
      <c r="AD266" s="572"/>
      <c r="AE266" s="572"/>
      <c r="AF266" s="1647">
        <v>11</v>
      </c>
    </row>
    <row s="1647" customFormat="1" customHeight="1" ht="11.549999999999999">
      <c r="A267" s="993"/>
      <c r="B267" s="1642"/>
      <c r="C267" s="1642"/>
      <c r="D267" s="357"/>
      <c r="K267" s="1166"/>
      <c r="L267" s="1642"/>
      <c r="M267" s="1642"/>
      <c r="N267" s="1166"/>
      <c r="O267" s="1166"/>
      <c r="P267" s="1166"/>
      <c r="Q267" s="1166"/>
      <c r="R267" s="1642"/>
      <c r="S267" s="1166"/>
      <c r="T267" s="1166"/>
      <c r="U267" s="550"/>
      <c r="V267" s="1166"/>
      <c r="W267" s="1166"/>
      <c r="X267" s="1166"/>
      <c r="Y267" s="1166"/>
      <c r="Z267" s="1166"/>
      <c r="AA267" s="1638"/>
      <c r="AB267" s="572"/>
      <c r="AC267" s="572"/>
      <c r="AD267" s="572"/>
      <c r="AE267" s="572"/>
      <c r="AF267" s="1647">
        <v>11</v>
      </c>
    </row>
    <row s="1647" customFormat="1" customHeight="1" ht="11.549999999999999">
      <c r="A268" s="993"/>
      <c r="B268" s="1642"/>
      <c r="C268" s="1642"/>
      <c r="D268" s="357"/>
      <c r="K268" s="1166"/>
      <c r="L268" s="1642"/>
      <c r="M268" s="1642"/>
      <c r="N268" s="1166"/>
      <c r="O268" s="1166"/>
      <c r="P268" s="1166"/>
      <c r="Q268" s="1166"/>
      <c r="R268" s="1642"/>
      <c r="S268" s="1166"/>
      <c r="T268" s="1166"/>
      <c r="U268" s="550"/>
      <c r="V268" s="1166"/>
      <c r="W268" s="1166"/>
      <c r="X268" s="1166"/>
      <c r="Y268" s="1166"/>
      <c r="Z268" s="1166"/>
      <c r="AA268" s="1638"/>
      <c r="AB268" s="572"/>
      <c r="AC268" s="572"/>
      <c r="AD268" s="572"/>
      <c r="AE268" s="572"/>
      <c r="AF268" s="1647">
        <v>11</v>
      </c>
    </row>
    <row s="1647" customFormat="1" customHeight="1" ht="11.549999999999999">
      <c r="A269" s="993"/>
      <c r="B269" s="1642"/>
      <c r="C269" s="1642"/>
      <c r="D269" s="357"/>
      <c r="K269" s="1166"/>
      <c r="L269" s="1642"/>
      <c r="M269" s="1642"/>
      <c r="N269" s="1166"/>
      <c r="O269" s="1166"/>
      <c r="P269" s="1166"/>
      <c r="Q269" s="1166"/>
      <c r="R269" s="1642"/>
      <c r="S269" s="1166"/>
      <c r="T269" s="1166"/>
      <c r="U269" s="550"/>
      <c r="V269" s="1166"/>
      <c r="W269" s="1166"/>
      <c r="X269" s="1166"/>
      <c r="Y269" s="1166"/>
      <c r="Z269" s="1166"/>
      <c r="AA269" s="1638"/>
      <c r="AB269" s="572"/>
      <c r="AC269" s="572"/>
      <c r="AD269" s="572"/>
      <c r="AE269" s="572"/>
      <c r="AF269" s="1647">
        <v>11</v>
      </c>
    </row>
    <row s="1647" customFormat="1" customHeight="1" ht="11.549999999999999">
      <c r="A270" s="993"/>
      <c r="B270" s="1642"/>
      <c r="C270" s="1642"/>
      <c r="D270" s="357"/>
      <c r="K270" s="1166"/>
      <c r="L270" s="1642"/>
      <c r="M270" s="1642"/>
      <c r="N270" s="1166"/>
      <c r="O270" s="1166"/>
      <c r="P270" s="1166"/>
      <c r="Q270" s="1166"/>
      <c r="R270" s="1642"/>
      <c r="S270" s="1166"/>
      <c r="T270" s="1166"/>
      <c r="U270" s="550"/>
      <c r="V270" s="1166"/>
      <c r="W270" s="1166"/>
      <c r="X270" s="1166"/>
      <c r="Y270" s="1166"/>
      <c r="Z270" s="1166"/>
      <c r="AA270" s="1638"/>
      <c r="AB270" s="572"/>
      <c r="AC270" s="572"/>
      <c r="AD270" s="572"/>
      <c r="AE270" s="572"/>
      <c r="AF270" s="1647">
        <v>11</v>
      </c>
    </row>
    <row s="1647" customFormat="1" customHeight="1" ht="11.549999999999999">
      <c r="A271" s="993"/>
      <c r="B271" s="1642"/>
      <c r="C271" s="1642"/>
      <c r="D271" s="357"/>
      <c r="K271" s="1166"/>
      <c r="L271" s="1642"/>
      <c r="M271" s="1642"/>
      <c r="N271" s="1166"/>
      <c r="O271" s="1166"/>
      <c r="P271" s="1166"/>
      <c r="Q271" s="1166"/>
      <c r="R271" s="1642"/>
      <c r="S271" s="1166"/>
      <c r="T271" s="1166"/>
      <c r="U271" s="550"/>
      <c r="V271" s="1166"/>
      <c r="W271" s="1166"/>
      <c r="X271" s="1166"/>
      <c r="Y271" s="1166"/>
      <c r="Z271" s="1166"/>
      <c r="AA271" s="1638"/>
      <c r="AB271" s="572"/>
      <c r="AC271" s="572"/>
      <c r="AD271" s="572"/>
      <c r="AE271" s="572"/>
      <c r="AF271" s="1647">
        <v>11</v>
      </c>
    </row>
    <row s="1647" customFormat="1" customHeight="1" ht="11.549999999999999">
      <c r="A272" s="993"/>
      <c r="B272" s="1642"/>
      <c r="C272" s="1642"/>
      <c r="D272" s="357"/>
      <c r="K272" s="1166"/>
      <c r="L272" s="1642"/>
      <c r="M272" s="1642"/>
      <c r="N272" s="1166"/>
      <c r="O272" s="1166"/>
      <c r="P272" s="1166"/>
      <c r="Q272" s="1166"/>
      <c r="R272" s="1642"/>
      <c r="S272" s="1166"/>
      <c r="T272" s="1166"/>
      <c r="U272" s="550"/>
      <c r="V272" s="1166"/>
      <c r="W272" s="1166"/>
      <c r="X272" s="1166"/>
      <c r="Y272" s="1166"/>
      <c r="Z272" s="1166"/>
      <c r="AA272" s="1638"/>
      <c r="AB272" s="572"/>
      <c r="AC272" s="572"/>
      <c r="AD272" s="572"/>
      <c r="AE272" s="572"/>
      <c r="AF272" s="1647">
        <v>11</v>
      </c>
    </row>
    <row s="1647" customFormat="1" customHeight="1" ht="11.549999999999999">
      <c r="A273" s="993"/>
      <c r="B273" s="1642"/>
      <c r="C273" s="1642"/>
      <c r="D273" s="357"/>
      <c r="K273" s="1166"/>
      <c r="L273" s="1642"/>
      <c r="M273" s="1642"/>
      <c r="N273" s="1166"/>
      <c r="O273" s="1166"/>
      <c r="P273" s="1166"/>
      <c r="Q273" s="1166"/>
      <c r="R273" s="1642"/>
      <c r="S273" s="1166"/>
      <c r="T273" s="1166"/>
      <c r="U273" s="550"/>
      <c r="V273" s="1166"/>
      <c r="W273" s="1166"/>
      <c r="X273" s="1166"/>
      <c r="Y273" s="1166"/>
      <c r="Z273" s="1166"/>
      <c r="AA273" s="1638"/>
      <c r="AB273" s="572"/>
      <c r="AC273" s="572"/>
      <c r="AD273" s="572"/>
      <c r="AE273" s="572"/>
      <c r="AF273" s="1647">
        <v>11</v>
      </c>
    </row>
    <row s="1647" customFormat="1" customHeight="1" ht="11.549999999999999">
      <c r="A274" s="993"/>
      <c r="B274" s="1642"/>
      <c r="C274" s="1642"/>
      <c r="D274" s="357"/>
      <c r="K274" s="1166"/>
      <c r="L274" s="1642"/>
      <c r="M274" s="1642"/>
      <c r="N274" s="1166"/>
      <c r="O274" s="1166"/>
      <c r="P274" s="1166"/>
      <c r="Q274" s="1166"/>
      <c r="R274" s="1642"/>
      <c r="S274" s="1166"/>
      <c r="T274" s="1166"/>
      <c r="U274" s="550"/>
      <c r="V274" s="1166"/>
      <c r="W274" s="1166"/>
      <c r="X274" s="1166"/>
      <c r="Y274" s="1166"/>
      <c r="Z274" s="1166"/>
      <c r="AA274" s="1638"/>
      <c r="AB274" s="572"/>
      <c r="AC274" s="572"/>
      <c r="AD274" s="572"/>
      <c r="AE274" s="572"/>
      <c r="AF274" s="1647">
        <v>11</v>
      </c>
    </row>
    <row s="1647" customFormat="1" customHeight="1" ht="11.549999999999999">
      <c r="A275" s="993"/>
      <c r="B275" s="1642"/>
      <c r="C275" s="1642"/>
      <c r="D275" s="357"/>
      <c r="K275" s="1166"/>
      <c r="L275" s="1642"/>
      <c r="M275" s="1642"/>
      <c r="N275" s="1166"/>
      <c r="O275" s="1166"/>
      <c r="P275" s="1166"/>
      <c r="Q275" s="1166"/>
      <c r="R275" s="1642"/>
      <c r="S275" s="1166"/>
      <c r="T275" s="1166"/>
      <c r="U275" s="550"/>
      <c r="V275" s="1166"/>
      <c r="W275" s="1166"/>
      <c r="X275" s="1166"/>
      <c r="Y275" s="1166"/>
      <c r="Z275" s="1166"/>
      <c r="AA275" s="1638"/>
      <c r="AB275" s="572"/>
      <c r="AC275" s="572"/>
      <c r="AD275" s="572"/>
      <c r="AE275" s="572"/>
      <c r="AF275" s="1647">
        <v>11</v>
      </c>
    </row>
    <row s="1647" customFormat="1" customHeight="1" ht="11.549999999999999">
      <c r="A276" s="993"/>
      <c r="B276" s="1642"/>
      <c r="C276" s="1642"/>
      <c r="D276" s="357"/>
      <c r="K276" s="1166"/>
      <c r="L276" s="1642"/>
      <c r="M276" s="1642"/>
      <c r="N276" s="1166"/>
      <c r="O276" s="1166"/>
      <c r="P276" s="1166"/>
      <c r="Q276" s="1166"/>
      <c r="R276" s="1642"/>
      <c r="S276" s="1166"/>
      <c r="T276" s="1166"/>
      <c r="U276" s="550"/>
      <c r="V276" s="1166"/>
      <c r="W276" s="1166"/>
      <c r="X276" s="1166"/>
      <c r="Y276" s="1166"/>
      <c r="Z276" s="1166"/>
      <c r="AA276" s="1638"/>
      <c r="AB276" s="572"/>
      <c r="AC276" s="572"/>
      <c r="AD276" s="572"/>
      <c r="AE276" s="572"/>
      <c r="AF276" s="1647">
        <v>11</v>
      </c>
    </row>
    <row s="1647" customFormat="1" customHeight="1" ht="11.549999999999999">
      <c r="A277" s="993"/>
      <c r="B277" s="1642"/>
      <c r="C277" s="1642"/>
      <c r="D277" s="357"/>
      <c r="K277" s="1166"/>
      <c r="L277" s="1642"/>
      <c r="M277" s="1642"/>
      <c r="N277" s="1166"/>
      <c r="O277" s="1166"/>
      <c r="P277" s="1166"/>
      <c r="Q277" s="1166"/>
      <c r="R277" s="1642"/>
      <c r="S277" s="1166"/>
      <c r="T277" s="1166"/>
      <c r="U277" s="550"/>
      <c r="V277" s="1166"/>
      <c r="W277" s="1166"/>
      <c r="X277" s="1166"/>
      <c r="Y277" s="1166"/>
      <c r="Z277" s="1166"/>
      <c r="AA277" s="1638"/>
      <c r="AB277" s="572"/>
      <c r="AC277" s="572"/>
      <c r="AD277" s="572"/>
      <c r="AE277" s="572"/>
      <c r="AF277" s="1647">
        <v>11</v>
      </c>
    </row>
    <row s="1647" customFormat="1" customHeight="1" ht="11.549999999999999">
      <c r="A278" s="993"/>
      <c r="B278" s="1642"/>
      <c r="C278" s="1642"/>
      <c r="D278" s="357"/>
      <c r="K278" s="1166"/>
      <c r="L278" s="1642"/>
      <c r="M278" s="1642"/>
      <c r="N278" s="1166"/>
      <c r="O278" s="1166"/>
      <c r="P278" s="1166"/>
      <c r="Q278" s="1166"/>
      <c r="R278" s="1642"/>
      <c r="S278" s="1166"/>
      <c r="T278" s="1166"/>
      <c r="U278" s="550"/>
      <c r="V278" s="1166"/>
      <c r="W278" s="1166"/>
      <c r="X278" s="1166"/>
      <c r="Y278" s="1166"/>
      <c r="Z278" s="1166"/>
      <c r="AA278" s="1638"/>
      <c r="AB278" s="572"/>
      <c r="AC278" s="572"/>
      <c r="AD278" s="572"/>
      <c r="AE278" s="572"/>
      <c r="AF278" s="1647">
        <v>11</v>
      </c>
    </row>
    <row s="1647" customFormat="1" customHeight="1" ht="11.549999999999999">
      <c r="A279" s="993"/>
      <c r="B279" s="1642"/>
      <c r="C279" s="1642"/>
      <c r="D279" s="357"/>
      <c r="K279" s="1166"/>
      <c r="L279" s="1642"/>
      <c r="M279" s="1642"/>
      <c r="N279" s="1166"/>
      <c r="O279" s="1166"/>
      <c r="P279" s="1166"/>
      <c r="Q279" s="1166"/>
      <c r="R279" s="1642"/>
      <c r="S279" s="1166"/>
      <c r="T279" s="1166"/>
      <c r="U279" s="550"/>
      <c r="V279" s="1166"/>
      <c r="W279" s="1166"/>
      <c r="X279" s="1166"/>
      <c r="Y279" s="1166"/>
      <c r="Z279" s="1166"/>
      <c r="AA279" s="1638"/>
      <c r="AB279" s="572"/>
      <c r="AC279" s="572"/>
      <c r="AD279" s="572"/>
      <c r="AE279" s="572"/>
      <c r="AF279" s="1647">
        <v>11</v>
      </c>
    </row>
    <row s="1647" customFormat="1" customHeight="1" ht="11.549999999999999">
      <c r="A280" s="993"/>
      <c r="B280" s="1642"/>
      <c r="C280" s="1642"/>
      <c r="D280" s="357"/>
      <c r="K280" s="1166"/>
      <c r="L280" s="1642"/>
      <c r="M280" s="1642"/>
      <c r="N280" s="1166"/>
      <c r="O280" s="1166"/>
      <c r="P280" s="1166"/>
      <c r="Q280" s="1166"/>
      <c r="R280" s="1642"/>
      <c r="S280" s="1166"/>
      <c r="T280" s="1166"/>
      <c r="U280" s="550"/>
      <c r="V280" s="1166"/>
      <c r="W280" s="1166"/>
      <c r="X280" s="1166"/>
      <c r="Y280" s="1166"/>
      <c r="Z280" s="1166"/>
      <c r="AA280" s="1638"/>
      <c r="AB280" s="572"/>
      <c r="AC280" s="572"/>
      <c r="AD280" s="572"/>
      <c r="AE280" s="572"/>
      <c r="AF280" s="1647">
        <v>11</v>
      </c>
    </row>
    <row s="1647" customFormat="1" customHeight="1" ht="11.549999999999999">
      <c r="A281" s="993"/>
      <c r="B281" s="1642"/>
      <c r="C281" s="1642"/>
      <c r="D281" s="357"/>
      <c r="K281" s="1166"/>
      <c r="L281" s="1642"/>
      <c r="M281" s="1642"/>
      <c r="N281" s="1166"/>
      <c r="O281" s="1166"/>
      <c r="P281" s="1166"/>
      <c r="Q281" s="1166"/>
      <c r="R281" s="1642"/>
      <c r="S281" s="1166"/>
      <c r="T281" s="1166"/>
      <c r="U281" s="550"/>
      <c r="V281" s="1166"/>
      <c r="W281" s="1166"/>
      <c r="X281" s="1166"/>
      <c r="Y281" s="1166"/>
      <c r="Z281" s="1166"/>
      <c r="AA281" s="1638"/>
      <c r="AB281" s="572"/>
      <c r="AC281" s="572"/>
      <c r="AD281" s="572"/>
      <c r="AE281" s="572"/>
      <c r="AF281" s="1647">
        <v>11</v>
      </c>
    </row>
    <row s="1647" customFormat="1" customHeight="1" ht="11.549999999999999">
      <c r="A282" s="993"/>
      <c r="B282" s="1642"/>
      <c r="C282" s="1642"/>
      <c r="D282" s="357"/>
      <c r="K282" s="1166"/>
      <c r="L282" s="1642"/>
      <c r="M282" s="1642"/>
      <c r="N282" s="1166"/>
      <c r="O282" s="1166"/>
      <c r="P282" s="1166"/>
      <c r="Q282" s="1166"/>
      <c r="R282" s="1642"/>
      <c r="S282" s="1166"/>
      <c r="T282" s="1166"/>
      <c r="U282" s="550"/>
      <c r="V282" s="1166"/>
      <c r="W282" s="1166"/>
      <c r="X282" s="1166"/>
      <c r="Y282" s="1166"/>
      <c r="Z282" s="1166"/>
      <c r="AA282" s="1638"/>
      <c r="AB282" s="572"/>
      <c r="AC282" s="572"/>
      <c r="AD282" s="572"/>
      <c r="AE282" s="572"/>
      <c r="AF282" s="1647">
        <v>11</v>
      </c>
    </row>
    <row s="1647" customFormat="1" customHeight="1" ht="11.549999999999999">
      <c r="A283" s="993"/>
      <c r="B283" s="1642"/>
      <c r="C283" s="1642"/>
      <c r="D283" s="357"/>
      <c r="K283" s="1166"/>
      <c r="L283" s="1642"/>
      <c r="M283" s="1642"/>
      <c r="N283" s="1166"/>
      <c r="O283" s="1166"/>
      <c r="P283" s="1166"/>
      <c r="Q283" s="1166"/>
      <c r="R283" s="1642"/>
      <c r="S283" s="1166"/>
      <c r="T283" s="1166"/>
      <c r="U283" s="550"/>
      <c r="V283" s="1166"/>
      <c r="W283" s="1166"/>
      <c r="X283" s="1166"/>
      <c r="Y283" s="1166"/>
      <c r="Z283" s="1166"/>
      <c r="AA283" s="1638"/>
      <c r="AB283" s="572"/>
      <c r="AC283" s="572"/>
      <c r="AD283" s="572"/>
      <c r="AE283" s="572"/>
      <c r="AF283" s="1647">
        <v>11</v>
      </c>
    </row>
    <row s="1647" customFormat="1" customHeight="1" ht="11.549999999999999">
      <c r="A284" s="993"/>
      <c r="B284" s="1642"/>
      <c r="C284" s="1642"/>
      <c r="D284" s="357"/>
      <c r="K284" s="1166"/>
      <c r="L284" s="1642"/>
      <c r="M284" s="1642"/>
      <c r="N284" s="1166"/>
      <c r="O284" s="1166"/>
      <c r="P284" s="1166"/>
      <c r="Q284" s="1166"/>
      <c r="R284" s="1642"/>
      <c r="S284" s="1166"/>
      <c r="T284" s="1166"/>
      <c r="U284" s="550"/>
      <c r="V284" s="1166"/>
      <c r="W284" s="1166"/>
      <c r="X284" s="1166"/>
      <c r="Y284" s="1166"/>
      <c r="Z284" s="1166"/>
      <c r="AA284" s="1638"/>
      <c r="AB284" s="572"/>
      <c r="AC284" s="572"/>
      <c r="AD284" s="572"/>
      <c r="AE284" s="572"/>
      <c r="AF284" s="1647">
        <v>11</v>
      </c>
    </row>
    <row s="1647" customFormat="1" customHeight="1" ht="11.549999999999999">
      <c r="A285" s="993"/>
      <c r="B285" s="1642"/>
      <c r="C285" s="1642"/>
      <c r="D285" s="357"/>
      <c r="K285" s="1166"/>
      <c r="L285" s="1642"/>
      <c r="M285" s="1642"/>
      <c r="N285" s="1166"/>
      <c r="O285" s="1166"/>
      <c r="P285" s="1166"/>
      <c r="Q285" s="1166"/>
      <c r="R285" s="1642"/>
      <c r="S285" s="1166"/>
      <c r="T285" s="1166"/>
      <c r="U285" s="550"/>
      <c r="V285" s="1166"/>
      <c r="W285" s="1166"/>
      <c r="X285" s="1166"/>
      <c r="Y285" s="1166"/>
      <c r="Z285" s="1166"/>
      <c r="AA285" s="1638"/>
      <c r="AB285" s="572"/>
      <c r="AC285" s="572"/>
      <c r="AD285" s="572"/>
      <c r="AE285" s="572"/>
      <c r="AF285" s="1647">
        <v>11</v>
      </c>
    </row>
    <row s="1647" customFormat="1" customHeight="1" ht="11.549999999999999">
      <c r="A286" s="993"/>
      <c r="B286" s="1642"/>
      <c r="C286" s="1642"/>
      <c r="D286" s="357"/>
      <c r="K286" s="1166"/>
      <c r="L286" s="1642"/>
      <c r="M286" s="1642"/>
      <c r="N286" s="1166"/>
      <c r="O286" s="1166"/>
      <c r="P286" s="1166"/>
      <c r="Q286" s="1166"/>
      <c r="R286" s="1642"/>
      <c r="S286" s="1166"/>
      <c r="T286" s="1166"/>
      <c r="U286" s="550"/>
      <c r="V286" s="1166"/>
      <c r="W286" s="1166"/>
      <c r="X286" s="1166"/>
      <c r="Y286" s="1166"/>
      <c r="Z286" s="1166"/>
      <c r="AA286" s="1638"/>
      <c r="AB286" s="572"/>
      <c r="AC286" s="572"/>
      <c r="AD286" s="572"/>
      <c r="AE286" s="572"/>
      <c r="AF286" s="1647">
        <v>11</v>
      </c>
    </row>
    <row s="1647" customFormat="1" customHeight="1" ht="11.549999999999999">
      <c r="A287" s="993"/>
      <c r="B287" s="1642"/>
      <c r="C287" s="1642"/>
      <c r="D287" s="357"/>
      <c r="K287" s="1166"/>
      <c r="L287" s="1642"/>
      <c r="M287" s="1642"/>
      <c r="N287" s="1166"/>
      <c r="O287" s="1166"/>
      <c r="P287" s="1166"/>
      <c r="Q287" s="1166"/>
      <c r="R287" s="1642"/>
      <c r="S287" s="1166"/>
      <c r="T287" s="1166"/>
      <c r="U287" s="550"/>
      <c r="V287" s="1166"/>
      <c r="W287" s="1166"/>
      <c r="X287" s="1166"/>
      <c r="Y287" s="1166"/>
      <c r="Z287" s="1166"/>
      <c r="AA287" s="1638"/>
      <c r="AB287" s="572"/>
      <c r="AC287" s="572"/>
      <c r="AD287" s="572"/>
      <c r="AE287" s="572"/>
      <c r="AF287" s="1647">
        <v>11</v>
      </c>
    </row>
    <row s="1647" customFormat="1" customHeight="1" ht="11.549999999999999">
      <c r="A288" s="993"/>
      <c r="B288" s="1642"/>
      <c r="C288" s="1642"/>
      <c r="D288" s="357"/>
      <c r="K288" s="1166"/>
      <c r="L288" s="1642"/>
      <c r="M288" s="1642"/>
      <c r="N288" s="1166"/>
      <c r="O288" s="1166"/>
      <c r="P288" s="1166"/>
      <c r="Q288" s="1166"/>
      <c r="R288" s="1642"/>
      <c r="S288" s="1166"/>
      <c r="T288" s="1166"/>
      <c r="U288" s="550"/>
      <c r="V288" s="1166"/>
      <c r="W288" s="1166"/>
      <c r="X288" s="1166"/>
      <c r="Y288" s="1166"/>
      <c r="Z288" s="1166"/>
      <c r="AA288" s="1638"/>
      <c r="AB288" s="572"/>
      <c r="AC288" s="572"/>
      <c r="AD288" s="572"/>
      <c r="AE288" s="572"/>
      <c r="AF288" s="1647">
        <v>11</v>
      </c>
    </row>
    <row customHeight="1" ht="11.549999999999999">
      <c r="AF289" s="1637">
        <v>11</v>
      </c>
    </row>
    <row customHeight="1" ht="11.549999999999999">
      <c r="AF290" s="1637">
        <v>11</v>
      </c>
    </row>
    <row customHeight="1" ht="11.549999999999999">
      <c r="AF291" s="1637">
        <v>11</v>
      </c>
    </row>
    <row customHeight="1" ht="11.549999999999999">
      <c r="A292" s="996"/>
      <c r="B292" s="1637"/>
      <c r="D292" s="1637"/>
      <c r="K292" s="1637"/>
      <c r="N292" s="1637"/>
      <c r="O292" s="1637"/>
      <c r="P292" s="1637"/>
      <c r="Q292" s="1637"/>
      <c r="S292" s="1637"/>
      <c r="T292" s="1637"/>
      <c r="U292" s="1637"/>
      <c r="V292" s="1637"/>
      <c r="W292" s="1637"/>
      <c r="X292" s="1637"/>
      <c r="Y292" s="1637"/>
      <c r="Z292" s="1637"/>
      <c r="AA292" s="1637"/>
      <c r="AB292" s="1637"/>
      <c r="AC292" s="1637"/>
      <c r="AD292" s="1637"/>
      <c r="AE292" s="1637"/>
      <c r="AF292" s="1637">
        <v>11</v>
      </c>
    </row>
    <row customHeight="1" ht="11.549999999999999">
      <c r="A293" s="996"/>
      <c r="B293" s="1637"/>
      <c r="D293" s="1637"/>
      <c r="K293" s="1637"/>
      <c r="N293" s="1637"/>
      <c r="O293" s="1637"/>
      <c r="P293" s="1637"/>
      <c r="Q293" s="1637"/>
      <c r="S293" s="1637"/>
      <c r="T293" s="1637"/>
      <c r="U293" s="1637"/>
      <c r="V293" s="1637"/>
      <c r="W293" s="1637"/>
      <c r="X293" s="1637"/>
      <c r="Y293" s="1637"/>
      <c r="Z293" s="1637"/>
      <c r="AA293" s="1637"/>
      <c r="AB293" s="1637"/>
      <c r="AC293" s="1637"/>
      <c r="AD293" s="1637"/>
      <c r="AE293" s="1637"/>
      <c r="AF293" s="1637">
        <v>11</v>
      </c>
    </row>
    <row customHeight="1" ht="11.549999999999999">
      <c r="A294" s="996"/>
      <c r="B294" s="1637"/>
      <c r="D294" s="1637"/>
      <c r="K294" s="1637"/>
      <c r="N294" s="1637"/>
      <c r="O294" s="1637"/>
      <c r="P294" s="1637"/>
      <c r="Q294" s="1637"/>
      <c r="S294" s="1637"/>
      <c r="T294" s="1637"/>
      <c r="U294" s="1637"/>
      <c r="V294" s="1637"/>
      <c r="W294" s="1637"/>
      <c r="X294" s="1637"/>
      <c r="Y294" s="1637"/>
      <c r="Z294" s="1637"/>
      <c r="AA294" s="1637"/>
      <c r="AB294" s="1637"/>
      <c r="AC294" s="1637"/>
      <c r="AD294" s="1637"/>
      <c r="AE294" s="1637"/>
      <c r="AF294" s="1637">
        <v>11</v>
      </c>
    </row>
    <row customHeight="1" ht="11.549999999999999">
      <c r="A295" s="996"/>
      <c r="B295" s="1637"/>
      <c r="D295" s="1637"/>
      <c r="K295" s="1637"/>
      <c r="N295" s="1637"/>
      <c r="O295" s="1637"/>
      <c r="P295" s="1637"/>
      <c r="Q295" s="1637"/>
      <c r="S295" s="1637"/>
      <c r="T295" s="1637"/>
      <c r="U295" s="1637"/>
      <c r="V295" s="1637"/>
      <c r="W295" s="1637"/>
      <c r="X295" s="1637"/>
      <c r="Y295" s="1637"/>
      <c r="Z295" s="1637"/>
      <c r="AA295" s="1637"/>
      <c r="AB295" s="1637"/>
      <c r="AC295" s="1637"/>
      <c r="AD295" s="1637"/>
      <c r="AE295" s="1637"/>
      <c r="AF295" s="1637">
        <v>11</v>
      </c>
    </row>
    <row customHeight="1" ht="11.549999999999999">
      <c r="A296" s="996"/>
      <c r="B296" s="1637"/>
      <c r="D296" s="1637"/>
      <c r="K296" s="1637"/>
      <c r="N296" s="1637"/>
      <c r="O296" s="1637"/>
      <c r="P296" s="1637"/>
      <c r="Q296" s="1637"/>
      <c r="S296" s="1637"/>
      <c r="T296" s="1637"/>
      <c r="U296" s="1637"/>
      <c r="V296" s="1637"/>
      <c r="W296" s="1637"/>
      <c r="X296" s="1637"/>
      <c r="Y296" s="1637"/>
      <c r="Z296" s="1637"/>
      <c r="AA296" s="1637"/>
      <c r="AB296" s="1637"/>
      <c r="AC296" s="1637"/>
      <c r="AD296" s="1637"/>
      <c r="AE296" s="1637"/>
      <c r="AF296" s="1637">
        <v>11</v>
      </c>
    </row>
    <row customHeight="1" ht="11.549999999999999">
      <c r="A297" s="996"/>
      <c r="B297" s="1637"/>
      <c r="D297" s="1637"/>
      <c r="K297" s="1637"/>
      <c r="N297" s="1637"/>
      <c r="O297" s="1637"/>
      <c r="P297" s="1637"/>
      <c r="Q297" s="1637"/>
      <c r="S297" s="1637"/>
      <c r="T297" s="1637"/>
      <c r="U297" s="1637"/>
      <c r="V297" s="1637"/>
      <c r="W297" s="1637"/>
      <c r="X297" s="1637"/>
      <c r="Y297" s="1637"/>
      <c r="Z297" s="1637"/>
      <c r="AA297" s="1637"/>
      <c r="AB297" s="1637"/>
      <c r="AC297" s="1637"/>
      <c r="AD297" s="1637"/>
      <c r="AE297" s="1637"/>
      <c r="AF297" s="1637">
        <v>11</v>
      </c>
    </row>
    <row customHeight="1" ht="11.549999999999999">
      <c r="A298" s="996"/>
      <c r="B298" s="1637"/>
      <c r="D298" s="1637"/>
      <c r="K298" s="1637"/>
      <c r="N298" s="1637"/>
      <c r="O298" s="1637"/>
      <c r="P298" s="1637"/>
      <c r="Q298" s="1637"/>
      <c r="S298" s="1637"/>
      <c r="T298" s="1637"/>
      <c r="U298" s="1637"/>
      <c r="V298" s="1637"/>
      <c r="W298" s="1637"/>
      <c r="X298" s="1637"/>
      <c r="Y298" s="1637"/>
      <c r="Z298" s="1637"/>
      <c r="AA298" s="1637"/>
      <c r="AB298" s="1637"/>
      <c r="AC298" s="1637"/>
      <c r="AD298" s="1637"/>
      <c r="AE298" s="1637"/>
      <c r="AF298" s="1637">
        <v>11</v>
      </c>
    </row>
    <row customHeight="1" ht="11.549999999999999">
      <c r="A299" s="996"/>
      <c r="B299" s="1637"/>
      <c r="D299" s="1637"/>
      <c r="K299" s="1637"/>
      <c r="N299" s="1637"/>
      <c r="O299" s="1637"/>
      <c r="P299" s="1637"/>
      <c r="Q299" s="1637"/>
      <c r="S299" s="1637"/>
      <c r="T299" s="1637"/>
      <c r="U299" s="1637"/>
      <c r="V299" s="1637"/>
      <c r="W299" s="1637"/>
      <c r="X299" s="1637"/>
      <c r="Y299" s="1637"/>
      <c r="Z299" s="1637"/>
      <c r="AA299" s="1637"/>
      <c r="AB299" s="1637"/>
      <c r="AC299" s="1637"/>
      <c r="AD299" s="1637"/>
      <c r="AE299" s="1637"/>
      <c r="AF299" s="1637">
        <v>11</v>
      </c>
    </row>
    <row customHeight="1" ht="11.549999999999999">
      <c r="A300" s="996"/>
      <c r="B300" s="1637"/>
      <c r="D300" s="1637"/>
      <c r="K300" s="1637"/>
      <c r="N300" s="1637"/>
      <c r="O300" s="1637"/>
      <c r="P300" s="1637"/>
      <c r="Q300" s="1637"/>
      <c r="S300" s="1637"/>
      <c r="T300" s="1637"/>
      <c r="U300" s="1637"/>
      <c r="V300" s="1637"/>
      <c r="W300" s="1637"/>
      <c r="X300" s="1637"/>
      <c r="Y300" s="1637"/>
      <c r="Z300" s="1637"/>
      <c r="AA300" s="1637"/>
      <c r="AB300" s="1637"/>
      <c r="AC300" s="1637"/>
      <c r="AD300" s="1637"/>
      <c r="AE300" s="1637"/>
      <c r="AF300" s="1637">
        <v>11</v>
      </c>
    </row>
    <row customHeight="1" ht="11.549999999999999">
      <c r="A301" s="996"/>
      <c r="B301" s="1637"/>
      <c r="D301" s="1637"/>
      <c r="K301" s="1637"/>
      <c r="N301" s="1637"/>
      <c r="O301" s="1637"/>
      <c r="P301" s="1637"/>
      <c r="Q301" s="1637"/>
      <c r="S301" s="1637"/>
      <c r="T301" s="1637"/>
      <c r="U301" s="1637"/>
      <c r="V301" s="1637"/>
      <c r="W301" s="1637"/>
      <c r="X301" s="1637"/>
      <c r="Y301" s="1637"/>
      <c r="Z301" s="1637"/>
      <c r="AA301" s="1637"/>
      <c r="AB301" s="1637"/>
      <c r="AC301" s="1637"/>
      <c r="AD301" s="1637"/>
      <c r="AE301" s="1637"/>
      <c r="AF301" s="1637">
        <v>11</v>
      </c>
    </row>
    <row customHeight="1" ht="11.549999999999999">
      <c r="A302" s="996"/>
      <c r="B302" s="1637"/>
      <c r="D302" s="1637"/>
      <c r="K302" s="1637"/>
      <c r="N302" s="1637"/>
      <c r="O302" s="1637"/>
      <c r="P302" s="1637"/>
      <c r="Q302" s="1637"/>
      <c r="S302" s="1637"/>
      <c r="T302" s="1637"/>
      <c r="U302" s="1637"/>
      <c r="V302" s="1637"/>
      <c r="W302" s="1637"/>
      <c r="X302" s="1637"/>
      <c r="Y302" s="1637"/>
      <c r="Z302" s="1637"/>
      <c r="AA302" s="1637"/>
      <c r="AB302" s="1637"/>
      <c r="AC302" s="1637"/>
      <c r="AD302" s="1637"/>
      <c r="AE302" s="1637"/>
      <c r="AF302" s="1637">
        <v>11</v>
      </c>
    </row>
    <row customHeight="1" ht="11.25" hidden="1">
      <c r="A303" s="993" t="s">
        <v>83</v>
      </c>
      <c r="B303" s="1166">
        <v>0</v>
      </c>
      <c r="C303" s="1642">
        <v>0</v>
      </c>
      <c r="D303" s="1641">
        <v>3</v>
      </c>
      <c r="E303" s="1637">
        <v>7</v>
      </c>
      <c r="F303" s="1637">
        <v>54</v>
      </c>
      <c r="G303" s="1637">
        <v>10</v>
      </c>
      <c r="H303" s="1637">
        <v>0</v>
      </c>
      <c r="I303" s="1637">
        <v>40</v>
      </c>
      <c r="J303" s="1637">
        <v>102</v>
      </c>
      <c r="K303" s="1166">
        <v>9</v>
      </c>
      <c r="L303" s="1642">
        <v>5</v>
      </c>
      <c r="M303" s="1642">
        <v>3</v>
      </c>
      <c r="N303" s="1166">
        <v>3</v>
      </c>
      <c r="O303" s="1166">
        <v>3</v>
      </c>
      <c r="P303" s="1166">
        <v>3</v>
      </c>
      <c r="Q303" s="1166">
        <v>3</v>
      </c>
      <c r="R303" s="1642">
        <v>10</v>
      </c>
      <c r="S303" s="1166">
        <v>34</v>
      </c>
      <c r="T303" s="1166">
        <v>9</v>
      </c>
      <c r="U303" s="550">
        <v>8</v>
      </c>
      <c r="V303" s="1166">
        <v>8</v>
      </c>
      <c r="W303" s="1166">
        <v>8</v>
      </c>
      <c r="X303" s="1166">
        <v>8</v>
      </c>
      <c r="Y303" s="1166">
        <v>8</v>
      </c>
      <c r="Z303" s="1166">
        <v>8</v>
      </c>
      <c r="AA303" s="1638">
        <v>8</v>
      </c>
      <c r="AB303" s="1638">
        <v>8</v>
      </c>
      <c r="AC303" s="1638">
        <v>8</v>
      </c>
      <c r="AD303" s="1638">
        <v>8</v>
      </c>
      <c r="AE303" s="1638">
        <v>8</v>
      </c>
      <c r="AF303" s="1637">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8FF016-73D6-D4ED-D0B7-E6C76CE11154}"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949" width="14.7109375" hidden="1" customWidth="1"/>
    <col min="2" max="2" style="1638" width="17.00390625" hidden="1" customWidth="1"/>
    <col min="3" max="3" style="1641" width="3.00390625" customWidth="1"/>
    <col min="4" max="4" style="1641" width="1.8515625" hidden="1" customWidth="1"/>
    <col min="5" max="6" style="1641" width="7.00390625" customWidth="1"/>
    <col min="7" max="7" style="1641" width="29.00390625" customWidth="1"/>
    <col min="8" max="8" style="1641" width="3.7109375" customWidth="1"/>
    <col min="9" max="9" style="1641" width="5.00390625" customWidth="1"/>
    <col min="10" max="11" style="1641" width="24.00390625" customWidth="1"/>
    <col min="12" max="12" style="1641" width="3.00390625" customWidth="1"/>
    <col min="13" max="13" style="1641" width="6.00390625" customWidth="1"/>
    <col min="14" max="14" style="1641" width="25.00390625" customWidth="1"/>
    <col min="15" max="18" style="1641" width="18.00390625" customWidth="1"/>
    <col min="19" max="19" style="1641" width="93.00390625" customWidth="1"/>
    <col min="20" max="20" style="1641" width="10.00390625" customWidth="1"/>
    <col min="21" max="21" style="1648" width="10.00390625" customWidth="1"/>
    <col min="22" max="22" style="1648" width="11.00390625" customWidth="1"/>
    <col min="23" max="27" style="1638" width="10.00390625" customWidth="1"/>
    <col min="28" max="83" style="1641" width="8.00390625" customWidth="1"/>
    <col min="84" max="84" style="1641" width="9.140625" hidden="1"/>
  </cols>
  <sheetData>
    <row customHeight="1" ht="22.5" hidden="1">
      <c r="CF1" s="511" t="s">
        <v>14</v>
      </c>
    </row>
    <row customHeight="1" ht="11.25" hidden="1">
      <c r="CF2" s="511">
        <v>0</v>
      </c>
    </row>
    <row customHeight="1" ht="11.25" hidden="1">
      <c r="CF3" s="511">
        <v>0</v>
      </c>
    </row>
    <row customHeight="1" ht="3">
      <c r="C4" s="515"/>
      <c r="D4" s="515"/>
      <c r="E4" s="515"/>
      <c r="F4" s="515"/>
      <c r="G4" s="515"/>
      <c r="H4" s="515"/>
      <c r="I4" s="515"/>
      <c r="J4" s="515"/>
      <c r="K4" s="172"/>
      <c r="L4" s="172"/>
      <c r="M4" s="172"/>
      <c r="CF4" s="511">
        <v>3</v>
      </c>
    </row>
    <row customHeight="1" ht="29.25">
      <c r="C5" s="515"/>
      <c r="D5" s="1063"/>
      <c r="E5" s="224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3"/>
      <c r="G5" s="2243"/>
      <c r="H5" s="2243"/>
      <c r="I5" s="2243"/>
      <c r="J5" s="2243"/>
      <c r="K5" s="2243"/>
      <c r="L5" s="619"/>
      <c r="M5" s="619"/>
      <c r="CF5" s="511">
        <v>28</v>
      </c>
    </row>
    <row s="1641" customFormat="1" customHeight="1" ht="16.8">
      <c r="A6" s="616"/>
      <c r="B6" s="765"/>
      <c r="C6" s="515"/>
      <c r="D6" s="1064"/>
      <c r="E6" s="2182" t="str">
        <f>IF(org=0,"Не определено",org)</f>
        <v>АО «ДГК» СП «Нерюнгринская ГРЭС»</v>
      </c>
      <c r="F6" s="2182"/>
      <c r="G6" s="2182"/>
      <c r="H6" s="2182"/>
      <c r="I6" s="2182"/>
      <c r="J6" s="2182"/>
      <c r="K6" s="2182"/>
      <c r="L6" s="619"/>
      <c r="M6" s="619"/>
      <c r="U6" s="617"/>
      <c r="V6" s="617"/>
      <c r="W6" s="618"/>
      <c r="X6" s="765"/>
      <c r="Y6" s="765"/>
      <c r="Z6" s="765"/>
      <c r="AA6" s="765"/>
      <c r="CF6" s="764">
        <v>16</v>
      </c>
    </row>
    <row customHeight="1" ht="11.549999999999999">
      <c r="C7" s="515"/>
      <c r="D7" s="515"/>
      <c r="E7" s="515"/>
      <c r="F7" s="515"/>
      <c r="G7" s="528"/>
      <c r="H7" s="528"/>
      <c r="I7" s="528"/>
      <c r="J7" s="528"/>
      <c r="K7" s="620"/>
      <c r="L7" s="620"/>
      <c r="M7" s="620"/>
      <c r="R7" s="758"/>
      <c r="CF7" s="511">
        <v>11</v>
      </c>
    </row>
    <row s="1647" customFormat="1" customHeight="1" ht="4.2">
      <c r="A8" s="627"/>
      <c r="B8" s="572"/>
      <c r="C8" s="357"/>
      <c r="D8" s="357"/>
      <c r="E8" s="357"/>
      <c r="F8" s="357"/>
      <c r="G8" s="981"/>
      <c r="H8" s="981"/>
      <c r="I8" s="981"/>
      <c r="J8" s="981"/>
      <c r="K8" s="1024"/>
      <c r="L8" s="1024"/>
      <c r="M8" s="1024"/>
      <c r="R8" s="1025"/>
      <c r="U8" s="617"/>
      <c r="V8" s="617"/>
      <c r="W8" s="628"/>
      <c r="X8" s="572"/>
      <c r="Y8" s="572"/>
      <c r="Z8" s="572"/>
      <c r="AA8" s="572"/>
      <c r="CF8" s="502">
        <v>4</v>
      </c>
    </row>
    <row customHeight="1" ht="19.95">
      <c r="D9" s="295"/>
      <c r="E9" s="2107" t="s">
        <v>316</v>
      </c>
      <c r="F9" s="2108"/>
      <c r="G9" s="2108"/>
      <c r="H9" s="2108"/>
      <c r="I9" s="2108"/>
      <c r="J9" s="2108"/>
      <c r="K9" s="2108"/>
      <c r="L9" s="2108"/>
      <c r="M9" s="2108"/>
      <c r="N9" s="2108"/>
      <c r="O9" s="2108"/>
      <c r="P9" s="2108"/>
      <c r="Q9" s="2108"/>
      <c r="R9" s="2109"/>
      <c r="S9" s="2133" t="s">
        <v>317</v>
      </c>
      <c r="T9" s="340"/>
      <c r="CF9" s="511">
        <v>19</v>
      </c>
    </row>
    <row customHeight="1" ht="48.29999999999999">
      <c r="D10" s="557" t="s">
        <v>89</v>
      </c>
      <c r="E10" s="2133" t="s">
        <v>89</v>
      </c>
      <c r="F10" s="2133"/>
      <c r="G10" s="527" t="s">
        <v>318</v>
      </c>
      <c r="H10" s="2133" t="s">
        <v>89</v>
      </c>
      <c r="I10" s="2133"/>
      <c r="J10" s="527" t="s">
        <v>639</v>
      </c>
      <c r="K10" s="527" t="s">
        <v>640</v>
      </c>
      <c r="L10" s="2133" t="s">
        <v>89</v>
      </c>
      <c r="M10" s="2133"/>
      <c r="N10" s="527" t="s">
        <v>641</v>
      </c>
      <c r="O10" s="527" t="s">
        <v>642</v>
      </c>
      <c r="P10" s="527" t="s">
        <v>643</v>
      </c>
      <c r="Q10" s="527" t="s">
        <v>644</v>
      </c>
      <c r="R10" s="527" t="s">
        <v>645</v>
      </c>
      <c r="S10" s="2133"/>
      <c r="T10" s="340"/>
      <c r="CF10" s="511">
        <v>46</v>
      </c>
    </row>
    <row s="1648" customFormat="1" customHeight="1" ht="15" hidden="1">
      <c r="A11" s="1058"/>
      <c r="D11" s="1031" t="s">
        <v>111</v>
      </c>
      <c r="E11" s="1031"/>
      <c r="F11" s="1031" t="s">
        <v>112</v>
      </c>
      <c r="G11" s="1031" t="s">
        <v>91</v>
      </c>
      <c r="H11" s="1031"/>
      <c r="I11" s="1031" t="s">
        <v>92</v>
      </c>
      <c r="J11" s="1031" t="s">
        <v>113</v>
      </c>
      <c r="K11" s="1031" t="s">
        <v>93</v>
      </c>
      <c r="L11" s="1031"/>
      <c r="M11" s="1031" t="s">
        <v>94</v>
      </c>
      <c r="N11" s="1031" t="s">
        <v>114</v>
      </c>
      <c r="O11" s="1031" t="s">
        <v>150</v>
      </c>
      <c r="P11" s="1031" t="s">
        <v>151</v>
      </c>
      <c r="Q11" s="1031" t="s">
        <v>152</v>
      </c>
      <c r="R11" s="1031" t="s">
        <v>153</v>
      </c>
      <c r="S11" s="1031" t="s">
        <v>154</v>
      </c>
      <c r="U11" s="617"/>
      <c r="V11" s="617"/>
      <c r="W11" s="617"/>
      <c r="CF11" s="517">
        <v>0</v>
      </c>
    </row>
    <row s="1641" customFormat="1" customHeight="1" ht="1.05">
      <c r="A12" s="621"/>
      <c r="B12" s="368"/>
      <c r="D12" s="554"/>
      <c r="E12" s="352"/>
      <c r="F12" s="352"/>
      <c r="Q12" s="622"/>
      <c r="R12" s="623"/>
      <c r="T12" s="624"/>
      <c r="U12" s="625"/>
      <c r="V12" s="625"/>
      <c r="W12" s="626"/>
      <c r="X12" s="368"/>
      <c r="Y12" s="368"/>
      <c r="Z12" s="368"/>
      <c r="AA12" s="368"/>
      <c r="CF12" s="515">
        <v>1</v>
      </c>
    </row>
    <row s="1647" customFormat="1" customHeight="1" ht="1.05">
      <c r="A13" s="627"/>
      <c r="B13" s="572"/>
      <c r="D13" s="554" t="s">
        <v>392</v>
      </c>
      <c r="E13" s="566"/>
      <c r="F13" s="566"/>
      <c r="G13" s="566"/>
      <c r="H13" s="566"/>
      <c r="I13" s="566"/>
      <c r="J13" s="566"/>
      <c r="K13" s="566"/>
      <c r="L13" s="566"/>
      <c r="M13" s="566"/>
      <c r="N13" s="566"/>
      <c r="O13" s="566"/>
      <c r="P13" s="566"/>
      <c r="Q13" s="566"/>
      <c r="R13" s="566"/>
      <c r="T13" s="340"/>
      <c r="U13" s="617"/>
      <c r="V13" s="617"/>
      <c r="W13" s="628"/>
      <c r="X13" s="572"/>
      <c r="Y13" s="572"/>
      <c r="Z13" s="572"/>
      <c r="AA13" s="572"/>
      <c r="CF13" s="502">
        <v>1</v>
      </c>
    </row>
    <row s="1856" customFormat="1" customHeight="1" ht="15" hidden="1">
      <c r="A14" s="629" t="s">
        <v>119</v>
      </c>
      <c r="B14" s="630"/>
      <c r="C14" s="630"/>
      <c r="D14" s="2386" t="s">
        <v>111</v>
      </c>
      <c r="E14" s="2383" t="s">
        <v>107</v>
      </c>
      <c r="F14" s="2384"/>
      <c r="G14" s="2385"/>
      <c r="H14" s="2389">
        <f>IF(A14="","",INDEX(DIFFERENTIATION_UNMERGE_VD,MATCH(A14,DIFFERENTIATION_ID_DIFF,0)))</f>
        <v>0</v>
      </c>
      <c r="I14" s="2389"/>
      <c r="J14" s="2389"/>
      <c r="K14" s="2389"/>
      <c r="L14" s="2389"/>
      <c r="M14" s="2389"/>
      <c r="N14" s="2389"/>
      <c r="O14" s="2389"/>
      <c r="P14" s="2389"/>
      <c r="Q14" s="2389"/>
      <c r="R14" s="2389"/>
      <c r="S14" s="725"/>
      <c r="T14" s="722"/>
      <c r="U14" s="631"/>
      <c r="V14" s="631"/>
      <c r="W14" s="632"/>
      <c r="X14" s="632"/>
      <c r="Y14" s="632"/>
      <c r="Z14" s="632"/>
      <c r="AA14" s="633"/>
      <c r="AB14" s="634"/>
      <c r="AC14" s="2381"/>
      <c r="AD14" s="635"/>
      <c r="AE14" s="636" t="s">
        <v>28</v>
      </c>
      <c r="AF14" s="636"/>
      <c r="AG14" s="637" t="s">
        <v>646</v>
      </c>
      <c r="AH14" s="638">
        <v>3</v>
      </c>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2"/>
      <c r="BW14" s="632"/>
      <c r="BX14" s="632"/>
      <c r="BY14" s="632"/>
      <c r="BZ14" s="632"/>
      <c r="CA14" s="632"/>
      <c r="CB14" s="632"/>
      <c r="CC14" s="632"/>
      <c r="CD14" s="632"/>
      <c r="CE14" s="632"/>
      <c r="CF14" s="299">
        <v>0</v>
      </c>
    </row>
    <row s="1856" customFormat="1" customHeight="1" ht="15" hidden="1">
      <c r="A15" s="629"/>
      <c r="B15" s="630"/>
      <c r="C15" s="630"/>
      <c r="D15" s="2387"/>
      <c r="E15" s="2383" t="s">
        <v>601</v>
      </c>
      <c r="F15" s="2384"/>
      <c r="G15" s="2385"/>
      <c r="H15" s="2389" t="str">
        <f>IF(A14="","",INDEX(DIFFERENTIATION_UNMERGE_AREA,MATCH(A14,DIFFERENTIATION_ID_DIFF,0)))</f>
        <v/>
      </c>
      <c r="I15" s="2389"/>
      <c r="J15" s="2389"/>
      <c r="K15" s="2389"/>
      <c r="L15" s="2389"/>
      <c r="M15" s="2389"/>
      <c r="N15" s="2389"/>
      <c r="O15" s="2389"/>
      <c r="P15" s="2389"/>
      <c r="Q15" s="2389"/>
      <c r="R15" s="2389"/>
      <c r="S15" s="725"/>
      <c r="T15" s="722"/>
      <c r="U15" s="631"/>
      <c r="V15" s="631"/>
      <c r="W15" s="632"/>
      <c r="X15" s="632"/>
      <c r="Y15" s="632"/>
      <c r="Z15" s="632"/>
      <c r="AA15" s="633"/>
      <c r="AB15" s="634"/>
      <c r="AC15" s="2381"/>
      <c r="AD15" s="635"/>
      <c r="AE15" s="636"/>
      <c r="AF15" s="636"/>
      <c r="AG15" s="637"/>
      <c r="AH15" s="638"/>
      <c r="AI15" s="631"/>
      <c r="AJ15" s="631"/>
      <c r="AK15" s="631"/>
      <c r="AL15" s="631"/>
      <c r="AM15" s="631"/>
      <c r="AN15" s="631"/>
      <c r="AO15" s="631"/>
      <c r="AP15" s="631"/>
      <c r="AQ15" s="631"/>
      <c r="AR15" s="631"/>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2"/>
      <c r="BW15" s="632"/>
      <c r="BX15" s="632"/>
      <c r="BY15" s="632"/>
      <c r="BZ15" s="632"/>
      <c r="CA15" s="632"/>
      <c r="CB15" s="632"/>
      <c r="CC15" s="632"/>
      <c r="CD15" s="632"/>
      <c r="CE15" s="632"/>
      <c r="CF15" s="299">
        <v>0</v>
      </c>
    </row>
    <row s="1856" customFormat="1" customHeight="1" ht="15" hidden="1">
      <c r="A16" s="629"/>
      <c r="B16" s="630"/>
      <c r="C16" s="630"/>
      <c r="D16" s="2387"/>
      <c r="E16" s="2383" t="s">
        <v>602</v>
      </c>
      <c r="F16" s="2384"/>
      <c r="G16" s="2385"/>
      <c r="H16" s="2389" t="str">
        <f>IF(A14="","",INDEX(DIFFERENTIATION_UNMERGE_SYSTEM,MATCH(A14,DIFFERENTIATION_ID_DIFF,0)))</f>
        <v>без дифференциации</v>
      </c>
      <c r="I16" s="2389"/>
      <c r="J16" s="2389"/>
      <c r="K16" s="2389"/>
      <c r="L16" s="2389"/>
      <c r="M16" s="2389"/>
      <c r="N16" s="2389"/>
      <c r="O16" s="2389"/>
      <c r="P16" s="2389"/>
      <c r="Q16" s="2389"/>
      <c r="R16" s="2389"/>
      <c r="S16" s="725"/>
      <c r="T16" s="722"/>
      <c r="U16" s="631"/>
      <c r="V16" s="631"/>
      <c r="W16" s="632"/>
      <c r="X16" s="632"/>
      <c r="Y16" s="632"/>
      <c r="Z16" s="632"/>
      <c r="AA16" s="633"/>
      <c r="AB16" s="634"/>
      <c r="AC16" s="2381"/>
      <c r="AD16" s="635"/>
      <c r="AE16" s="636"/>
      <c r="AF16" s="636"/>
      <c r="AG16" s="637"/>
      <c r="AH16" s="638"/>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2"/>
      <c r="BW16" s="632"/>
      <c r="BX16" s="632"/>
      <c r="BY16" s="632"/>
      <c r="BZ16" s="632"/>
      <c r="CA16" s="632"/>
      <c r="CB16" s="632"/>
      <c r="CC16" s="632"/>
      <c r="CD16" s="632"/>
      <c r="CE16" s="632"/>
      <c r="CF16" s="299">
        <v>0</v>
      </c>
    </row>
    <row s="1856" customFormat="1" customHeight="1" ht="22.5" hidden="1">
      <c r="A17" s="639"/>
      <c r="B17" s="423"/>
      <c r="C17" s="418"/>
      <c r="D17" s="2387"/>
      <c r="E17" s="2382" t="s">
        <v>647</v>
      </c>
      <c r="F17" s="2382"/>
      <c r="G17" s="2382"/>
      <c r="H17" s="2382"/>
      <c r="I17" s="2382"/>
      <c r="J17" s="2382"/>
      <c r="K17" s="2382"/>
      <c r="L17" s="2382"/>
      <c r="M17" s="2382"/>
      <c r="N17" s="2382"/>
      <c r="O17" s="2382"/>
      <c r="P17" s="2382"/>
      <c r="Q17" s="564">
        <f>SUMIF(T18:T19,"i",Q18:Q19)</f>
        <v>0</v>
      </c>
      <c r="R17" s="1023"/>
      <c r="S17" s="903" t="s">
        <v>648</v>
      </c>
      <c r="T17" s="723" t="s">
        <v>649</v>
      </c>
      <c r="U17" s="2380">
        <v>1</v>
      </c>
      <c r="V17" s="2380" t="str">
        <f>INDEX(B_FHD_FLAG_INDEX_1,1,MATCH(A14,B_FHD_FLAG_DIFFERENTIATION,0))</f>
        <v>отсутствует</v>
      </c>
      <c r="W17" s="423"/>
      <c r="X17" s="423"/>
      <c r="Y17" s="423"/>
      <c r="Z17" s="423"/>
      <c r="AA17" s="517"/>
      <c r="AB17" s="423"/>
      <c r="AC17" s="2381"/>
      <c r="AD17" s="635"/>
      <c r="AE17" s="423"/>
      <c r="AF17" s="423"/>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423"/>
      <c r="BW17" s="423"/>
      <c r="BX17" s="423"/>
      <c r="BY17" s="423"/>
      <c r="BZ17" s="423"/>
      <c r="CA17" s="423"/>
      <c r="CB17" s="423"/>
      <c r="CC17" s="423"/>
      <c r="CD17" s="423"/>
      <c r="CE17" s="423"/>
      <c r="CF17" s="299">
        <v>0</v>
      </c>
    </row>
    <row s="1856" customFormat="1" customHeight="1" ht="11.25" hidden="1">
      <c r="A18" s="640"/>
      <c r="B18" s="517"/>
      <c r="C18" s="517"/>
      <c r="D18" s="2387"/>
      <c r="E18" s="641"/>
      <c r="F18" s="641">
        <v>0</v>
      </c>
      <c r="G18" s="641"/>
      <c r="H18" s="641"/>
      <c r="I18" s="641"/>
      <c r="J18" s="641"/>
      <c r="K18" s="641"/>
      <c r="L18" s="641"/>
      <c r="M18" s="641"/>
      <c r="N18" s="641"/>
      <c r="O18" s="641"/>
      <c r="P18" s="641"/>
      <c r="Q18" s="641"/>
      <c r="R18" s="641"/>
      <c r="S18" s="642"/>
      <c r="T18" s="724"/>
      <c r="U18" s="2380"/>
      <c r="V18" s="2380"/>
      <c r="W18" s="517"/>
      <c r="X18" s="517"/>
      <c r="Y18" s="517"/>
      <c r="Z18" s="517"/>
      <c r="AA18" s="517"/>
      <c r="AB18" s="423"/>
      <c r="AC18" s="2381"/>
      <c r="AD18" s="635"/>
      <c r="AE18" s="423"/>
      <c r="AF18" s="423"/>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299">
        <v>0</v>
      </c>
    </row>
    <row s="1856" customFormat="1" customHeight="1" ht="11.25" hidden="1">
      <c r="A19" s="639"/>
      <c r="B19" s="423"/>
      <c r="C19" s="418"/>
      <c r="D19" s="2387"/>
      <c r="E19" s="655" t="s">
        <v>28</v>
      </c>
      <c r="F19" s="656" t="s">
        <v>28</v>
      </c>
      <c r="G19" s="656" t="s">
        <v>28</v>
      </c>
      <c r="H19" s="657" t="s">
        <v>28</v>
      </c>
      <c r="I19" s="657"/>
      <c r="J19" s="657"/>
      <c r="K19" s="657"/>
      <c r="L19" s="657"/>
      <c r="M19" s="657"/>
      <c r="N19" s="657"/>
      <c r="O19" s="657"/>
      <c r="P19" s="657"/>
      <c r="Q19" s="657"/>
      <c r="R19" s="658"/>
      <c r="S19" s="1026"/>
      <c r="T19" s="724"/>
      <c r="U19" s="2380"/>
      <c r="V19" s="2380"/>
      <c r="W19" s="423"/>
      <c r="X19" s="423"/>
      <c r="Y19" s="423"/>
      <c r="Z19" s="423"/>
      <c r="AA19" s="517"/>
      <c r="AB19" s="423"/>
      <c r="AC19" s="2381"/>
      <c r="AD19" s="635"/>
      <c r="AE19" s="423"/>
      <c r="AF19" s="423"/>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423"/>
      <c r="BW19" s="423"/>
      <c r="BX19" s="423"/>
      <c r="BY19" s="423"/>
      <c r="BZ19" s="423"/>
      <c r="CA19" s="423"/>
      <c r="CB19" s="423"/>
      <c r="CC19" s="423"/>
      <c r="CD19" s="423"/>
      <c r="CE19" s="423"/>
      <c r="CF19" s="299">
        <v>0</v>
      </c>
    </row>
    <row s="1856" customFormat="1" customHeight="1" ht="22.5" hidden="1">
      <c r="A20" s="639"/>
      <c r="B20" s="423"/>
      <c r="C20" s="418"/>
      <c r="D20" s="2387"/>
      <c r="E20" s="2382" t="s">
        <v>650</v>
      </c>
      <c r="F20" s="2382"/>
      <c r="G20" s="2382"/>
      <c r="H20" s="2382"/>
      <c r="I20" s="2382"/>
      <c r="J20" s="2382"/>
      <c r="K20" s="2382"/>
      <c r="L20" s="2382"/>
      <c r="M20" s="2382"/>
      <c r="N20" s="2382"/>
      <c r="O20" s="2382"/>
      <c r="P20" s="2382"/>
      <c r="Q20" s="564">
        <f>SUMIF(T21:T22,"i",Q21:Q22)</f>
        <v>0</v>
      </c>
      <c r="R20" s="1023"/>
      <c r="S20" s="715" t="s">
        <v>651</v>
      </c>
      <c r="T20" s="723" t="s">
        <v>649</v>
      </c>
      <c r="U20" s="2380">
        <v>2</v>
      </c>
      <c r="V20" s="2380" t="str">
        <f>INDEX(B_FHD_FLAG_INDEX_2,1,MATCH(A14,B_FHD_FLAG_DIFFERENTIATION,0))</f>
        <v>отсутствует</v>
      </c>
      <c r="W20" s="423"/>
      <c r="X20" s="423"/>
      <c r="Y20" s="423"/>
      <c r="Z20" s="423"/>
      <c r="AA20" s="517"/>
      <c r="AB20" s="423"/>
      <c r="AC20" s="712"/>
      <c r="AD20" s="635"/>
      <c r="AE20" s="423"/>
      <c r="AF20" s="423"/>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423"/>
      <c r="BW20" s="423"/>
      <c r="BX20" s="423"/>
      <c r="BY20" s="423"/>
      <c r="BZ20" s="423"/>
      <c r="CA20" s="423"/>
      <c r="CB20" s="423"/>
      <c r="CC20" s="423"/>
      <c r="CD20" s="423"/>
      <c r="CE20" s="423"/>
      <c r="CF20" s="299">
        <v>0</v>
      </c>
    </row>
    <row s="1856" customFormat="1" customHeight="1" ht="11.25" hidden="1">
      <c r="A21" s="714"/>
      <c r="B21" s="517"/>
      <c r="C21" s="517"/>
      <c r="D21" s="2387"/>
      <c r="E21" s="641"/>
      <c r="F21" s="641">
        <v>0</v>
      </c>
      <c r="G21" s="641"/>
      <c r="H21" s="641"/>
      <c r="I21" s="641"/>
      <c r="J21" s="641"/>
      <c r="K21" s="641"/>
      <c r="L21" s="641"/>
      <c r="M21" s="641"/>
      <c r="N21" s="641"/>
      <c r="O21" s="641"/>
      <c r="P21" s="641"/>
      <c r="Q21" s="641"/>
      <c r="R21" s="641"/>
      <c r="S21" s="642"/>
      <c r="T21" s="724"/>
      <c r="U21" s="2380"/>
      <c r="V21" s="2380"/>
      <c r="W21" s="517"/>
      <c r="X21" s="517"/>
      <c r="Y21" s="517"/>
      <c r="Z21" s="517"/>
      <c r="AA21" s="517"/>
      <c r="AB21" s="423"/>
      <c r="AC21" s="712"/>
      <c r="AD21" s="635"/>
      <c r="AE21" s="423"/>
      <c r="AF21" s="423"/>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299">
        <v>0</v>
      </c>
    </row>
    <row s="1856" customFormat="1" customHeight="1" ht="11.25" hidden="1">
      <c r="A22" s="639"/>
      <c r="B22" s="423"/>
      <c r="C22" s="418"/>
      <c r="D22" s="2388"/>
      <c r="E22" s="655" t="s">
        <v>28</v>
      </c>
      <c r="F22" s="656" t="s">
        <v>28</v>
      </c>
      <c r="G22" s="656" t="s">
        <v>28</v>
      </c>
      <c r="H22" s="657" t="s">
        <v>28</v>
      </c>
      <c r="I22" s="657"/>
      <c r="J22" s="657"/>
      <c r="K22" s="657"/>
      <c r="L22" s="657"/>
      <c r="M22" s="657"/>
      <c r="N22" s="657"/>
      <c r="O22" s="657"/>
      <c r="P22" s="657"/>
      <c r="Q22" s="657"/>
      <c r="R22" s="658"/>
      <c r="S22" s="1026"/>
      <c r="T22" s="724"/>
      <c r="U22" s="2380"/>
      <c r="V22" s="2380"/>
      <c r="W22" s="423"/>
      <c r="X22" s="423"/>
      <c r="Y22" s="423"/>
      <c r="Z22" s="423"/>
      <c r="AA22" s="517"/>
      <c r="AB22" s="423"/>
      <c r="AC22" s="712"/>
      <c r="AD22" s="635"/>
      <c r="AE22" s="423"/>
      <c r="AF22" s="423"/>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423"/>
      <c r="BW22" s="423"/>
      <c r="BX22" s="423"/>
      <c r="BY22" s="423"/>
      <c r="BZ22" s="423"/>
      <c r="CA22" s="423"/>
      <c r="CB22" s="423"/>
      <c r="CC22" s="423"/>
      <c r="CD22" s="423"/>
      <c r="CE22" s="423"/>
      <c r="CF22" s="299">
        <v>0</v>
      </c>
    </row>
    <row customHeight="1" ht="19.95">
      <c r="D23" s="1053"/>
      <c r="E23" s="1053"/>
      <c r="F23" s="1053"/>
      <c r="G23" s="1053"/>
      <c r="H23" s="1053"/>
      <c r="I23" s="1053"/>
      <c r="J23" s="1053"/>
      <c r="K23" s="1053"/>
      <c r="L23" s="1053"/>
      <c r="M23" s="1053"/>
      <c r="N23" s="1053"/>
      <c r="O23" s="1053"/>
      <c r="P23" s="1053"/>
      <c r="Q23" s="1053"/>
      <c r="R23" s="1053"/>
      <c r="S23" s="1053"/>
      <c r="T23" s="340"/>
      <c r="CF23" s="511">
        <v>19</v>
      </c>
    </row>
    <row customHeight="1" ht="11.549999999999999">
      <c r="D24" s="515"/>
      <c r="CF24" s="511">
        <v>11</v>
      </c>
    </row>
    <row customHeight="1" ht="11.549999999999999">
      <c r="D25" s="660"/>
      <c r="E25" s="660"/>
      <c r="F25" s="660"/>
      <c r="G25" s="661"/>
      <c r="CF25" s="511">
        <v>11</v>
      </c>
    </row>
    <row customHeight="1" ht="11.549999999999999">
      <c r="CF26" s="511">
        <v>11</v>
      </c>
    </row>
    <row customHeight="1" ht="11.549999999999999">
      <c r="D27" s="662"/>
      <c r="E27" s="2390"/>
      <c r="F27" s="2390"/>
      <c r="G27" s="2390"/>
      <c r="H27" s="2390"/>
      <c r="I27" s="2390"/>
      <c r="J27" s="2390"/>
      <c r="K27" s="2390"/>
      <c r="L27" s="2390"/>
      <c r="M27" s="2390"/>
      <c r="N27" s="2390"/>
      <c r="O27" s="2390"/>
      <c r="P27" s="2390"/>
      <c r="Q27" s="2390"/>
      <c r="R27" s="2390"/>
      <c r="CF27" s="511">
        <v>11</v>
      </c>
    </row>
    <row customHeight="1" ht="11.549999999999999">
      <c r="F28" s="764"/>
      <c r="G28" s="764"/>
      <c r="CF28" s="511">
        <v>11</v>
      </c>
    </row>
    <row customHeight="1" ht="11.25" hidden="1">
      <c r="A29" s="616" t="s">
        <v>83</v>
      </c>
      <c r="B29" s="455">
        <v>0</v>
      </c>
      <c r="C29" s="511">
        <v>3</v>
      </c>
      <c r="D29" s="511">
        <v>0</v>
      </c>
      <c r="E29" s="511">
        <v>7</v>
      </c>
      <c r="F29" s="511">
        <v>7</v>
      </c>
      <c r="G29" s="511">
        <v>29</v>
      </c>
      <c r="H29" s="511">
        <v>3</v>
      </c>
      <c r="I29" s="511">
        <v>5</v>
      </c>
      <c r="J29" s="511">
        <v>24</v>
      </c>
      <c r="K29" s="511">
        <v>24</v>
      </c>
      <c r="L29" s="511">
        <v>3</v>
      </c>
      <c r="M29" s="511">
        <v>6</v>
      </c>
      <c r="N29" s="511">
        <v>25</v>
      </c>
      <c r="O29" s="511">
        <v>18</v>
      </c>
      <c r="P29" s="511">
        <v>18</v>
      </c>
      <c r="Q29" s="511">
        <v>18</v>
      </c>
      <c r="R29" s="511">
        <v>18</v>
      </c>
      <c r="S29" s="511">
        <v>93</v>
      </c>
      <c r="T29" s="511">
        <v>10</v>
      </c>
      <c r="U29" s="617">
        <v>10</v>
      </c>
      <c r="V29" s="617">
        <v>11</v>
      </c>
      <c r="W29" s="618">
        <v>10</v>
      </c>
      <c r="X29" s="455">
        <v>10</v>
      </c>
      <c r="Y29" s="455">
        <v>10</v>
      </c>
      <c r="Z29" s="455">
        <v>10</v>
      </c>
      <c r="AA29" s="455">
        <v>10</v>
      </c>
      <c r="AB29" s="511">
        <v>8</v>
      </c>
      <c r="AC29" s="511">
        <v>8</v>
      </c>
      <c r="AD29" s="511">
        <v>8</v>
      </c>
      <c r="AE29" s="511">
        <v>8</v>
      </c>
      <c r="AF29" s="511">
        <v>8</v>
      </c>
      <c r="AG29" s="511">
        <v>8</v>
      </c>
      <c r="AH29" s="511">
        <v>8</v>
      </c>
      <c r="AI29" s="511">
        <v>8</v>
      </c>
      <c r="AJ29" s="511">
        <v>8</v>
      </c>
      <c r="AK29" s="511">
        <v>8</v>
      </c>
      <c r="AL29" s="511">
        <v>8</v>
      </c>
      <c r="AM29" s="511">
        <v>8</v>
      </c>
      <c r="AN29" s="511">
        <v>8</v>
      </c>
      <c r="AO29" s="511">
        <v>8</v>
      </c>
      <c r="AP29" s="511">
        <v>8</v>
      </c>
      <c r="AQ29" s="511">
        <v>8</v>
      </c>
      <c r="AR29" s="511">
        <v>8</v>
      </c>
      <c r="AS29" s="511">
        <v>8</v>
      </c>
      <c r="AT29" s="511">
        <v>8</v>
      </c>
      <c r="AU29" s="511">
        <v>8</v>
      </c>
      <c r="AV29" s="511">
        <v>8</v>
      </c>
      <c r="AW29" s="511">
        <v>8</v>
      </c>
      <c r="AX29" s="511">
        <v>8</v>
      </c>
      <c r="AY29" s="511">
        <v>8</v>
      </c>
      <c r="AZ29" s="511">
        <v>8</v>
      </c>
      <c r="BA29" s="511">
        <v>8</v>
      </c>
      <c r="BB29" s="511">
        <v>8</v>
      </c>
      <c r="BC29" s="511">
        <v>8</v>
      </c>
      <c r="BD29" s="511">
        <v>8</v>
      </c>
      <c r="BE29" s="511">
        <v>8</v>
      </c>
      <c r="BF29" s="511">
        <v>8</v>
      </c>
      <c r="BG29" s="511">
        <v>8</v>
      </c>
      <c r="BH29" s="511">
        <v>8</v>
      </c>
      <c r="BI29" s="511">
        <v>8</v>
      </c>
      <c r="BJ29" s="511">
        <v>8</v>
      </c>
      <c r="BK29" s="511">
        <v>8</v>
      </c>
      <c r="BL29" s="511">
        <v>8</v>
      </c>
      <c r="BM29" s="511">
        <v>8</v>
      </c>
      <c r="BN29" s="511">
        <v>8</v>
      </c>
      <c r="BO29" s="511">
        <v>8</v>
      </c>
      <c r="BP29" s="511">
        <v>8</v>
      </c>
      <c r="BQ29" s="511">
        <v>8</v>
      </c>
      <c r="BR29" s="511">
        <v>8</v>
      </c>
      <c r="BS29" s="511">
        <v>8</v>
      </c>
      <c r="BT29" s="511">
        <v>8</v>
      </c>
      <c r="BU29" s="511">
        <v>8</v>
      </c>
      <c r="BV29" s="511">
        <v>8</v>
      </c>
      <c r="BW29" s="511">
        <v>8</v>
      </c>
      <c r="BX29" s="511">
        <v>8</v>
      </c>
      <c r="BY29" s="511">
        <v>8</v>
      </c>
      <c r="BZ29" s="511">
        <v>8</v>
      </c>
      <c r="CA29" s="511">
        <v>8</v>
      </c>
      <c r="CB29" s="511">
        <v>8</v>
      </c>
      <c r="CC29" s="511">
        <v>8</v>
      </c>
      <c r="CD29" s="511">
        <v>8</v>
      </c>
      <c r="CE29" s="511">
        <v>8</v>
      </c>
      <c r="CF29" s="511">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37BB55-1404-4932-7B44-B6567416564D}"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993" width="10.7109375" hidden="1" customWidth="1"/>
    <col min="6" max="6" style="1372" width="16.8515625" hidden="1" customWidth="1"/>
    <col min="7" max="7" style="1648" width="5.57421875" hidden="1" customWidth="1"/>
    <col min="8" max="8" style="1641" width="3.00390625" customWidth="1"/>
    <col min="9" max="9" style="1641" width="7.00390625" customWidth="1"/>
    <col min="10" max="10" style="1641" width="56.00390625" customWidth="1"/>
    <col min="11" max="11" style="1641" width="10.00390625" customWidth="1"/>
    <col min="12" max="12" style="1641" width="40.57421875" hidden="1" customWidth="1"/>
    <col min="13" max="13" style="1641" width="40.7109375" customWidth="1"/>
    <col min="14" max="14" style="1372" width="9.7109375" hidden="1" customWidth="1"/>
    <col min="15" max="15" style="1641" width="102.00390625" customWidth="1"/>
    <col min="16" max="16" style="1372" width="9.00390625" customWidth="1"/>
    <col min="17" max="17" style="1648" width="5.00390625" customWidth="1"/>
    <col min="18" max="18" style="1648" width="3.00390625" customWidth="1"/>
    <col min="19" max="22" style="1372" width="3.00390625" customWidth="1"/>
    <col min="23" max="23" style="1648" width="10.00390625" customWidth="1"/>
    <col min="24" max="24" style="1372" width="34.00390625" customWidth="1"/>
    <col min="25" max="25" style="1372" width="9.00390625" customWidth="1"/>
    <col min="26" max="26" style="742" width="8.00390625" customWidth="1"/>
    <col min="27" max="31" style="1372" width="8.00390625" customWidth="1"/>
    <col min="32" max="36" style="1638" width="8.00390625" customWidth="1"/>
    <col min="37" max="37" style="1641" width="5.421875" hidden="1" customWidth="1"/>
  </cols>
  <sheetData>
    <row s="1372" customFormat="1" customHeight="1" ht="33.75" hidden="1">
      <c r="A1" s="993"/>
      <c r="B1" s="993"/>
      <c r="C1" s="993"/>
      <c r="D1" s="993"/>
      <c r="E1" s="993"/>
      <c r="G1" s="1642"/>
      <c r="H1" s="884"/>
      <c r="L1" s="1372">
        <v>4</v>
      </c>
      <c r="M1" s="1372">
        <v>4</v>
      </c>
      <c r="Q1" s="1642"/>
      <c r="R1" s="1642"/>
      <c r="W1" s="1642"/>
      <c r="AK1" s="1372" t="s">
        <v>14</v>
      </c>
    </row>
    <row s="1372" customFormat="1" customHeight="1" ht="78.75" hidden="1">
      <c r="A2" s="993"/>
      <c r="B2" s="2059" t="s">
        <v>652</v>
      </c>
      <c r="C2" s="2059" t="s">
        <v>653</v>
      </c>
      <c r="D2" s="2058" t="s">
        <v>654</v>
      </c>
      <c r="E2" s="2062">
        <f>RIGHT(I2,LEN(I2)-SEARCH("#",SUBSTITUTE(I2,".","#",LEN(I2)-LEN(SUBSTITUTE(I2,".","")))))</f>
      </c>
      <c r="F2" s="2064">
        <f>J2</f>
        <v>0</v>
      </c>
      <c r="G2" s="1642"/>
      <c r="H2" s="2065"/>
      <c r="I2" s="2055"/>
      <c r="J2" s="546"/>
      <c r="K2" s="2025" t="s">
        <v>593</v>
      </c>
      <c r="L2" s="757"/>
      <c r="M2" s="757"/>
      <c r="N2" s="549"/>
      <c r="O2" s="1531" t="s">
        <v>594</v>
      </c>
      <c r="P2" s="549"/>
      <c r="Q2" s="1642"/>
      <c r="R2" s="1642"/>
      <c r="W2" s="1642"/>
      <c r="Z2" s="550"/>
      <c r="AF2" s="1638"/>
      <c r="AG2" s="1638"/>
      <c r="AH2" s="1638"/>
      <c r="AI2" s="1638"/>
      <c r="AJ2" s="1638"/>
      <c r="AK2" s="1372">
        <v>0</v>
      </c>
    </row>
    <row customHeight="1" ht="11.25" hidden="1">
      <c r="E3" s="2057" t="s">
        <v>655</v>
      </c>
      <c r="L3" s="1637">
        <f>0</f>
        <v>0</v>
      </c>
      <c r="M3" s="1637">
        <v>1</v>
      </c>
      <c r="AK3" s="1637">
        <v>0</v>
      </c>
    </row>
    <row s="1638" customFormat="1" customHeight="1" ht="11.25" hidden="1">
      <c r="A4" s="993"/>
      <c r="B4" s="993"/>
      <c r="C4" s="993"/>
      <c r="E4" s="993"/>
      <c r="F4" s="1372"/>
      <c r="G4" s="1642"/>
      <c r="H4" s="626"/>
      <c r="N4" s="1372"/>
      <c r="O4" s="1638">
        <v>4</v>
      </c>
      <c r="P4" s="1372"/>
      <c r="Q4" s="1642"/>
      <c r="R4" s="1642"/>
      <c r="S4" s="1372"/>
      <c r="T4" s="1372"/>
      <c r="U4" s="1372"/>
      <c r="V4" s="1372"/>
      <c r="W4" s="1642"/>
      <c r="X4" s="1372"/>
      <c r="Y4" s="1372"/>
      <c r="Z4" s="550"/>
      <c r="AA4" s="1372"/>
      <c r="AB4" s="1372"/>
      <c r="AC4" s="1372"/>
      <c r="AD4" s="1372"/>
      <c r="AE4" s="1372"/>
      <c r="AK4" s="1638">
        <v>0</v>
      </c>
    </row>
    <row customHeight="1" ht="11.549999999999999">
      <c r="AK5" s="1637">
        <v>11</v>
      </c>
    </row>
    <row customHeight="1" ht="57.75">
      <c r="I6" s="2313" t="s">
        <v>656</v>
      </c>
      <c r="J6" s="2313"/>
      <c r="K6" s="2313"/>
      <c r="L6" s="2313"/>
      <c r="M6" s="2313"/>
      <c r="O6" s="562"/>
      <c r="AK6" s="1637">
        <v>55</v>
      </c>
    </row>
    <row customHeight="1" ht="25.2">
      <c r="I7" s="2255" t="str">
        <f>IF(org=0,"Не определено",org)</f>
        <v>АО «ДГК» СП «Нерюнгринская ГРЭС»</v>
      </c>
      <c r="J7" s="2255"/>
      <c r="K7" s="2255"/>
      <c r="L7" s="2255"/>
      <c r="M7" s="2255"/>
      <c r="AK7" s="1637">
        <v>24</v>
      </c>
    </row>
    <row customHeight="1" ht="11.549999999999999">
      <c r="I8" s="1141"/>
      <c r="J8" s="1141"/>
      <c r="K8" s="1141"/>
      <c r="L8" s="1141"/>
      <c r="M8" s="1141"/>
      <c r="AK8" s="1637">
        <v>11</v>
      </c>
    </row>
    <row s="1648" customFormat="1" customHeight="1" ht="30" hidden="1">
      <c r="A9" s="1173"/>
      <c r="B9" s="1173"/>
      <c r="C9" s="1173"/>
      <c r="E9" s="1173"/>
      <c r="H9" s="1648"/>
      <c r="L9" s="895"/>
      <c r="M9" s="895" t="s">
        <v>119</v>
      </c>
      <c r="AK9" s="1642">
        <v>1</v>
      </c>
    </row>
    <row customHeight="1" ht="11.549999999999999">
      <c r="E10" s="2056" t="s">
        <v>657</v>
      </c>
      <c r="I10" s="717"/>
      <c r="J10" s="2373" t="s">
        <v>107</v>
      </c>
      <c r="K10" s="2374"/>
      <c r="L10" s="2035" t="str">
        <f>IF(L9="","",INDEX(DIFFERENTIATION_UNMERGE_VD,MATCH(L9,DIFFERENTIATION_ID_DIFF,0)))</f>
        <v/>
      </c>
      <c r="M10" s="2035">
        <f>IF(M9="","",INDEX(DIFFERENTIATION_UNMERGE_VD,MATCH(M9,DIFFERENTIATION_ID_DIFF,0)))</f>
        <v>0</v>
      </c>
      <c r="O10" s="2133" t="s">
        <v>317</v>
      </c>
      <c r="AK10" s="1637">
        <v>11</v>
      </c>
    </row>
    <row customHeight="1" ht="11.549999999999999">
      <c r="E11" s="2056" t="s">
        <v>658</v>
      </c>
      <c r="I11" s="717"/>
      <c r="J11" s="2373" t="s">
        <v>601</v>
      </c>
      <c r="K11" s="2374"/>
      <c r="L11" s="2035" t="str">
        <f>IF(L9="","",INDEX(DIFFERENTIATION_UNMERGE_AREA,MATCH(L9,DIFFERENTIATION_ID_DIFF,0)))</f>
        <v/>
      </c>
      <c r="M11" s="2035" t="str">
        <f>IF(M9="","",INDEX(DIFFERENTIATION_UNMERGE_AREA,MATCH(M9,DIFFERENTIATION_ID_DIFF,0)))</f>
        <v/>
      </c>
      <c r="O11" s="2133"/>
      <c r="AK11" s="1637">
        <v>11</v>
      </c>
    </row>
    <row customHeight="1" ht="11.549999999999999">
      <c r="E12" s="2056" t="s">
        <v>659</v>
      </c>
      <c r="I12" s="1668"/>
      <c r="J12" s="2373" t="s">
        <v>602</v>
      </c>
      <c r="K12" s="2374"/>
      <c r="L12" s="2035" t="str">
        <f>IF(L9="","",INDEX(DIFFERENTIATION_UNMERGE_SYSTEM,MATCH(L9,DIFFERENTIATION_ID_DIFF,0)))</f>
        <v/>
      </c>
      <c r="M12" s="2035" t="str">
        <f>IF(M9="","",INDEX(DIFFERENTIATION_UNMERGE_SYSTEM,MATCH(M9,DIFFERENTIATION_ID_DIFF,0)))</f>
        <v>без дифференциации</v>
      </c>
      <c r="O12" s="2133"/>
      <c r="AK12" s="1637">
        <v>11</v>
      </c>
    </row>
    <row customHeight="1" ht="11.549999999999999">
      <c r="E13" s="2056" t="s">
        <v>660</v>
      </c>
      <c r="F13" s="2056" t="s">
        <v>661</v>
      </c>
      <c r="I13" s="2375" t="s">
        <v>316</v>
      </c>
      <c r="J13" s="2376"/>
      <c r="K13" s="2376"/>
      <c r="L13" s="2033"/>
      <c r="M13" s="2073"/>
      <c r="O13" s="2133"/>
      <c r="AK13" s="1637">
        <v>11</v>
      </c>
    </row>
    <row customHeight="1" ht="24">
      <c r="I14" s="2026" t="s">
        <v>89</v>
      </c>
      <c r="J14" s="2026" t="s">
        <v>318</v>
      </c>
      <c r="K14" s="2026" t="s">
        <v>603</v>
      </c>
      <c r="L14" s="2066" t="s">
        <v>319</v>
      </c>
      <c r="M14" s="2067" t="s">
        <v>319</v>
      </c>
      <c r="O14" s="2133"/>
      <c r="AK14" s="1637">
        <v>23</v>
      </c>
    </row>
    <row customHeight="1" ht="24">
      <c r="A15" s="2060"/>
      <c r="B15" s="2059" t="s">
        <v>662</v>
      </c>
      <c r="C15" s="2059" t="s">
        <v>663</v>
      </c>
      <c r="D15" s="2058" t="s">
        <v>664</v>
      </c>
      <c r="E15" s="2062" t="s">
        <v>665</v>
      </c>
      <c r="F15" s="2062" t="s">
        <v>665</v>
      </c>
      <c r="G15" s="1642" t="s">
        <v>625</v>
      </c>
      <c r="H15" s="2027"/>
      <c r="I15" s="1636">
        <v>1</v>
      </c>
      <c r="J15" s="2028" t="s">
        <v>666</v>
      </c>
      <c r="K15" s="2026" t="s">
        <v>322</v>
      </c>
      <c r="L15" s="668"/>
      <c r="M15" s="824"/>
      <c r="N15" s="549" t="s">
        <v>667</v>
      </c>
      <c r="O15" s="1531" t="s">
        <v>668</v>
      </c>
      <c r="P15" s="549" t="s">
        <v>667</v>
      </c>
      <c r="AK15" s="1637">
        <v>23</v>
      </c>
    </row>
    <row customHeight="1" ht="35.699999999999996">
      <c r="A16" s="2060"/>
      <c r="B16" s="2059" t="s">
        <v>669</v>
      </c>
      <c r="C16" s="2059" t="s">
        <v>670</v>
      </c>
      <c r="D16" s="2058" t="s">
        <v>654</v>
      </c>
      <c r="E16" s="2062" t="s">
        <v>665</v>
      </c>
      <c r="F16" s="2062" t="s">
        <v>665</v>
      </c>
      <c r="H16" s="2027"/>
      <c r="I16" s="1635">
        <v>2</v>
      </c>
      <c r="J16" s="2069" t="s">
        <v>671</v>
      </c>
      <c r="K16" s="2068" t="s">
        <v>593</v>
      </c>
      <c r="L16" s="2074"/>
      <c r="M16" s="1682"/>
      <c r="N16" s="549" t="s">
        <v>667</v>
      </c>
      <c r="O16" s="1531" t="s">
        <v>672</v>
      </c>
      <c r="P16" s="549" t="s">
        <v>667</v>
      </c>
      <c r="AK16" s="1637">
        <v>34</v>
      </c>
    </row>
    <row s="1648" customFormat="1" customHeight="1" ht="17.25" hidden="1">
      <c r="A17" s="1173"/>
      <c r="B17" s="1173"/>
      <c r="C17" s="1173"/>
      <c r="D17" s="1173"/>
      <c r="E17" s="1173"/>
      <c r="H17" s="1330"/>
      <c r="I17" s="1019" t="s">
        <v>673</v>
      </c>
      <c r="J17" s="997"/>
      <c r="K17" s="1019"/>
      <c r="L17" s="998"/>
      <c r="M17" s="998"/>
      <c r="O17" s="1391"/>
      <c r="AK17" s="1642">
        <v>1</v>
      </c>
    </row>
    <row s="1372" customFormat="1" customHeight="1" ht="24">
      <c r="A18" s="993"/>
      <c r="B18" s="993"/>
      <c r="C18" s="993"/>
      <c r="D18" s="993"/>
      <c r="E18" s="993"/>
      <c r="G18" s="1642"/>
      <c r="H18" s="1639"/>
      <c r="I18" s="576"/>
      <c r="J18" s="577" t="s">
        <v>623</v>
      </c>
      <c r="K18" s="578"/>
      <c r="L18" s="2076"/>
      <c r="M18" s="579"/>
      <c r="N18" s="549"/>
      <c r="O18" s="1531" t="s">
        <v>624</v>
      </c>
      <c r="P18" s="549"/>
      <c r="Q18" s="1642"/>
      <c r="R18" s="1642"/>
      <c r="W18" s="1642"/>
      <c r="Z18" s="550"/>
      <c r="AF18" s="1638"/>
      <c r="AG18" s="1638"/>
      <c r="AH18" s="1638"/>
      <c r="AI18" s="1638"/>
      <c r="AJ18" s="1638"/>
      <c r="AK18" s="1372">
        <v>23</v>
      </c>
    </row>
    <row customHeight="1" ht="19.95">
      <c r="A19" s="2060"/>
      <c r="B19" s="2059" t="s">
        <v>674</v>
      </c>
      <c r="C19" s="2059" t="s">
        <v>675</v>
      </c>
      <c r="D19" s="2058" t="s">
        <v>654</v>
      </c>
      <c r="E19" s="2062" t="s">
        <v>665</v>
      </c>
      <c r="F19" s="2062" t="s">
        <v>665</v>
      </c>
      <c r="H19" s="2027"/>
      <c r="I19" s="1670">
        <v>3</v>
      </c>
      <c r="J19" s="2028" t="s">
        <v>675</v>
      </c>
      <c r="K19" s="2024" t="s">
        <v>593</v>
      </c>
      <c r="L19" s="733"/>
      <c r="M19" s="563"/>
      <c r="N19" s="549"/>
      <c r="O19" s="1531" t="s">
        <v>676</v>
      </c>
      <c r="P19" s="549"/>
      <c r="AK19" s="1637">
        <v>19</v>
      </c>
    </row>
    <row customHeight="1" ht="77.7">
      <c r="A20" s="2060"/>
      <c r="B20" s="2059" t="s">
        <v>677</v>
      </c>
      <c r="C20" s="2059" t="s">
        <v>678</v>
      </c>
      <c r="D20" s="2058" t="s">
        <v>654</v>
      </c>
      <c r="E20" s="2062" t="s">
        <v>665</v>
      </c>
      <c r="F20" s="2062" t="s">
        <v>665</v>
      </c>
      <c r="H20" s="2027"/>
      <c r="I20" s="1670">
        <v>4</v>
      </c>
      <c r="J20" s="2028" t="s">
        <v>679</v>
      </c>
      <c r="K20" s="2024" t="s">
        <v>620</v>
      </c>
      <c r="L20" s="733"/>
      <c r="M20" s="563"/>
      <c r="N20" s="549"/>
      <c r="O20" s="1531"/>
      <c r="P20" s="549"/>
      <c r="AK20" s="1637">
        <v>74</v>
      </c>
    </row>
    <row customHeight="1" ht="35.699999999999996">
      <c r="A21" s="2060"/>
      <c r="B21" s="2059" t="s">
        <v>680</v>
      </c>
      <c r="C21" s="2059" t="s">
        <v>681</v>
      </c>
      <c r="D21" s="2058" t="s">
        <v>654</v>
      </c>
      <c r="E21" s="2062" t="s">
        <v>665</v>
      </c>
      <c r="F21" s="2062" t="s">
        <v>665</v>
      </c>
      <c r="H21" s="2027"/>
      <c r="I21" s="1670">
        <v>5</v>
      </c>
      <c r="J21" s="2028" t="s">
        <v>682</v>
      </c>
      <c r="K21" s="2024" t="s">
        <v>620</v>
      </c>
      <c r="L21" s="733"/>
      <c r="M21" s="563"/>
      <c r="N21" s="549"/>
      <c r="O21" s="1531" t="s">
        <v>676</v>
      </c>
      <c r="P21" s="549"/>
      <c r="AK21" s="1637">
        <v>34</v>
      </c>
    </row>
    <row customHeight="1" ht="48.29999999999999">
      <c r="A22" s="2060"/>
      <c r="B22" s="2059" t="s">
        <v>683</v>
      </c>
      <c r="C22" s="2059" t="s">
        <v>684</v>
      </c>
      <c r="D22" s="2058" t="s">
        <v>654</v>
      </c>
      <c r="E22" s="2062" t="s">
        <v>665</v>
      </c>
      <c r="F22" s="2062" t="s">
        <v>665</v>
      </c>
      <c r="H22" s="2027"/>
      <c r="I22" s="1670">
        <v>6</v>
      </c>
      <c r="J22" s="2028" t="s">
        <v>685</v>
      </c>
      <c r="K22" s="2024" t="s">
        <v>620</v>
      </c>
      <c r="L22" s="733"/>
      <c r="M22" s="563"/>
      <c r="N22" s="549"/>
      <c r="O22" s="1531" t="s">
        <v>686</v>
      </c>
      <c r="P22" s="549"/>
      <c r="AK22" s="1637">
        <v>46</v>
      </c>
    </row>
    <row customHeight="1" ht="19.95">
      <c r="A23" s="2060"/>
      <c r="B23" s="2059" t="s">
        <v>687</v>
      </c>
      <c r="C23" s="2059" t="s">
        <v>688</v>
      </c>
      <c r="D23" s="2058" t="s">
        <v>654</v>
      </c>
      <c r="E23" s="2062" t="s">
        <v>665</v>
      </c>
      <c r="F23" s="2062" t="s">
        <v>665</v>
      </c>
      <c r="H23" s="2027"/>
      <c r="I23" s="1670" t="s">
        <v>689</v>
      </c>
      <c r="J23" s="1530" t="s">
        <v>690</v>
      </c>
      <c r="K23" s="2024" t="s">
        <v>620</v>
      </c>
      <c r="L23" s="733"/>
      <c r="M23" s="563"/>
      <c r="N23" s="549"/>
      <c r="O23" s="1531" t="s">
        <v>676</v>
      </c>
      <c r="P23" s="549"/>
      <c r="AK23" s="1637">
        <v>19</v>
      </c>
    </row>
    <row customHeight="1" ht="19.95">
      <c r="A24" s="2060"/>
      <c r="B24" s="2059" t="s">
        <v>691</v>
      </c>
      <c r="C24" s="2059" t="s">
        <v>692</v>
      </c>
      <c r="D24" s="2058" t="s">
        <v>654</v>
      </c>
      <c r="E24" s="2062" t="s">
        <v>665</v>
      </c>
      <c r="F24" s="2062" t="s">
        <v>665</v>
      </c>
      <c r="H24" s="2027"/>
      <c r="I24" s="1670" t="s">
        <v>693</v>
      </c>
      <c r="J24" s="1530" t="s">
        <v>694</v>
      </c>
      <c r="K24" s="2024" t="s">
        <v>620</v>
      </c>
      <c r="L24" s="733"/>
      <c r="M24" s="563"/>
      <c r="N24" s="549"/>
      <c r="O24" s="1531"/>
      <c r="P24" s="549"/>
      <c r="AK24" s="1637">
        <v>19</v>
      </c>
    </row>
    <row customHeight="1" ht="24">
      <c r="A25" s="2060"/>
      <c r="B25" s="2059" t="s">
        <v>695</v>
      </c>
      <c r="C25" s="2059" t="s">
        <v>696</v>
      </c>
      <c r="D25" s="2058" t="s">
        <v>654</v>
      </c>
      <c r="E25" s="2062" t="s">
        <v>665</v>
      </c>
      <c r="F25" s="2062" t="s">
        <v>665</v>
      </c>
      <c r="H25" s="2027"/>
      <c r="I25" s="1670" t="s">
        <v>697</v>
      </c>
      <c r="J25" s="1530" t="s">
        <v>698</v>
      </c>
      <c r="K25" s="2024" t="s">
        <v>620</v>
      </c>
      <c r="L25" s="733"/>
      <c r="M25" s="563"/>
      <c r="N25" s="549"/>
      <c r="O25" s="1531"/>
      <c r="P25" s="549"/>
      <c r="AK25" s="1637">
        <v>23</v>
      </c>
    </row>
    <row customHeight="1" ht="24">
      <c r="A26" s="2060"/>
      <c r="B26" s="2059" t="s">
        <v>699</v>
      </c>
      <c r="C26" s="2059" t="s">
        <v>700</v>
      </c>
      <c r="D26" s="2058" t="s">
        <v>654</v>
      </c>
      <c r="E26" s="2062" t="s">
        <v>665</v>
      </c>
      <c r="F26" s="2062" t="s">
        <v>665</v>
      </c>
      <c r="H26" s="2027"/>
      <c r="I26" s="1670">
        <v>7</v>
      </c>
      <c r="J26" s="2028" t="s">
        <v>700</v>
      </c>
      <c r="K26" s="2024" t="s">
        <v>701</v>
      </c>
      <c r="L26" s="733"/>
      <c r="M26" s="563"/>
      <c r="N26" s="549"/>
      <c r="O26" s="1531"/>
      <c r="P26" s="549"/>
      <c r="AK26" s="1637">
        <v>23</v>
      </c>
    </row>
    <row customHeight="1" ht="24">
      <c r="A27" s="2060"/>
      <c r="B27" s="2059" t="s">
        <v>702</v>
      </c>
      <c r="C27" s="2059" t="s">
        <v>703</v>
      </c>
      <c r="D27" s="2058" t="s">
        <v>654</v>
      </c>
      <c r="E27" s="2062" t="s">
        <v>665</v>
      </c>
      <c r="F27" s="2062" t="s">
        <v>665</v>
      </c>
      <c r="H27" s="2027"/>
      <c r="I27" s="1670">
        <v>8</v>
      </c>
      <c r="J27" s="2028" t="s">
        <v>703</v>
      </c>
      <c r="K27" s="2024" t="s">
        <v>626</v>
      </c>
      <c r="L27" s="733"/>
      <c r="M27" s="563"/>
      <c r="N27" s="549"/>
      <c r="O27" s="1531"/>
      <c r="P27" s="549"/>
      <c r="AK27" s="1637">
        <v>23</v>
      </c>
    </row>
    <row customHeight="1" ht="35.699999999999996">
      <c r="A28" s="2060"/>
      <c r="B28" s="2059" t="s">
        <v>704</v>
      </c>
      <c r="C28" s="2059" t="s">
        <v>705</v>
      </c>
      <c r="D28" s="2058" t="s">
        <v>654</v>
      </c>
      <c r="E28" s="2062" t="s">
        <v>665</v>
      </c>
      <c r="F28" s="2062" t="s">
        <v>665</v>
      </c>
      <c r="H28" s="2027"/>
      <c r="I28" s="1681">
        <v>9</v>
      </c>
      <c r="J28" s="2028" t="s">
        <v>706</v>
      </c>
      <c r="K28" s="2024" t="s">
        <v>597</v>
      </c>
      <c r="L28" s="733"/>
      <c r="M28" s="563"/>
      <c r="N28" s="549"/>
      <c r="O28" s="1531"/>
      <c r="P28" s="549"/>
      <c r="AK28" s="1637">
        <v>34</v>
      </c>
    </row>
    <row customHeight="1" ht="35.699999999999996">
      <c r="A29" s="2060"/>
      <c r="B29" s="2059" t="s">
        <v>707</v>
      </c>
      <c r="C29" s="2059" t="s">
        <v>708</v>
      </c>
      <c r="D29" s="2058" t="s">
        <v>654</v>
      </c>
      <c r="E29" s="2062" t="s">
        <v>665</v>
      </c>
      <c r="F29" s="2062" t="s">
        <v>665</v>
      </c>
      <c r="H29" s="2027"/>
      <c r="I29" s="1681">
        <v>10</v>
      </c>
      <c r="J29" s="2028" t="s">
        <v>709</v>
      </c>
      <c r="K29" s="2024" t="s">
        <v>597</v>
      </c>
      <c r="L29" s="733"/>
      <c r="M29" s="563"/>
      <c r="N29" s="549"/>
      <c r="O29" s="1531"/>
      <c r="P29" s="549"/>
      <c r="AK29" s="1637">
        <v>34</v>
      </c>
    </row>
    <row customHeight="1" ht="24">
      <c r="A30" s="2060"/>
      <c r="B30" s="2059" t="s">
        <v>710</v>
      </c>
      <c r="C30" s="2059" t="s">
        <v>711</v>
      </c>
      <c r="D30" s="2058" t="s">
        <v>654</v>
      </c>
      <c r="E30" s="2062" t="s">
        <v>665</v>
      </c>
      <c r="F30" s="2062" t="s">
        <v>665</v>
      </c>
      <c r="H30" s="2027"/>
      <c r="I30" s="1681">
        <v>11</v>
      </c>
      <c r="J30" s="2028" t="s">
        <v>711</v>
      </c>
      <c r="K30" s="2024" t="s">
        <v>627</v>
      </c>
      <c r="L30" s="2075"/>
      <c r="M30" s="1627"/>
      <c r="N30" s="549"/>
      <c r="O30" s="1531"/>
      <c r="P30" s="549"/>
      <c r="AK30" s="1637">
        <v>23</v>
      </c>
    </row>
    <row customHeight="1" ht="24">
      <c r="A31" s="2060"/>
      <c r="B31" s="2059" t="s">
        <v>712</v>
      </c>
      <c r="C31" s="2059" t="s">
        <v>713</v>
      </c>
      <c r="D31" s="2058" t="s">
        <v>654</v>
      </c>
      <c r="E31" s="2062" t="s">
        <v>665</v>
      </c>
      <c r="F31" s="2062" t="s">
        <v>665</v>
      </c>
      <c r="H31" s="2027"/>
      <c r="I31" s="1681">
        <v>12</v>
      </c>
      <c r="J31" s="2028" t="s">
        <v>713</v>
      </c>
      <c r="K31" s="2024" t="s">
        <v>627</v>
      </c>
      <c r="L31" s="2075"/>
      <c r="M31" s="1627"/>
      <c r="N31" s="549"/>
      <c r="O31" s="1531"/>
      <c r="P31" s="549"/>
      <c r="AK31" s="1637">
        <v>23</v>
      </c>
    </row>
    <row customHeight="1" ht="48.29999999999999">
      <c r="A32" s="2060"/>
      <c r="B32" s="2059" t="s">
        <v>714</v>
      </c>
      <c r="C32" s="2059" t="s">
        <v>715</v>
      </c>
      <c r="D32" s="2058" t="s">
        <v>654</v>
      </c>
      <c r="E32" s="2062" t="s">
        <v>665</v>
      </c>
      <c r="F32" s="2062" t="s">
        <v>665</v>
      </c>
      <c r="H32" s="2027"/>
      <c r="I32" s="1681">
        <v>13</v>
      </c>
      <c r="J32" s="2028" t="s">
        <v>716</v>
      </c>
      <c r="K32" s="2024" t="s">
        <v>637</v>
      </c>
      <c r="L32" s="733"/>
      <c r="M32" s="563"/>
      <c r="N32" s="549"/>
      <c r="O32" s="1531" t="s">
        <v>676</v>
      </c>
      <c r="P32" s="549"/>
      <c r="AK32" s="1637">
        <v>46</v>
      </c>
    </row>
    <row s="1372" customFormat="1" customHeight="1" ht="48.29999999999999">
      <c r="A33" s="2060"/>
      <c r="B33" s="2059" t="s">
        <v>717</v>
      </c>
      <c r="C33" s="2059" t="s">
        <v>718</v>
      </c>
      <c r="D33" s="2058" t="s">
        <v>654</v>
      </c>
      <c r="E33" s="2062" t="s">
        <v>665</v>
      </c>
      <c r="F33" s="2062" t="s">
        <v>665</v>
      </c>
      <c r="G33" s="1642"/>
      <c r="H33" s="2027"/>
      <c r="I33" s="1681">
        <v>14</v>
      </c>
      <c r="J33" s="2040" t="s">
        <v>719</v>
      </c>
      <c r="K33" s="2029" t="s">
        <v>720</v>
      </c>
      <c r="L33" s="733"/>
      <c r="M33" s="563"/>
      <c r="N33" s="549"/>
      <c r="O33" s="1531" t="s">
        <v>676</v>
      </c>
      <c r="P33" s="549"/>
      <c r="Q33" s="1642"/>
      <c r="R33" s="1642"/>
      <c r="W33" s="1642"/>
      <c r="Z33" s="550"/>
      <c r="AF33" s="1638"/>
      <c r="AG33" s="1638"/>
      <c r="AH33" s="1638"/>
      <c r="AI33" s="1638"/>
      <c r="AJ33" s="1638"/>
      <c r="AK33" s="1372">
        <v>46</v>
      </c>
    </row>
    <row customHeight="1" ht="108">
      <c r="A34" s="2060"/>
      <c r="B34" s="2059" t="s">
        <v>721</v>
      </c>
      <c r="C34" s="2059" t="s">
        <v>722</v>
      </c>
      <c r="D34" s="2058" t="s">
        <v>664</v>
      </c>
      <c r="E34" s="2062" t="s">
        <v>665</v>
      </c>
      <c r="F34" s="2062" t="s">
        <v>665</v>
      </c>
      <c r="G34" s="1642" t="s">
        <v>625</v>
      </c>
      <c r="H34" s="2027"/>
      <c r="I34" s="2038">
        <v>15</v>
      </c>
      <c r="J34" s="2039" t="s">
        <v>723</v>
      </c>
      <c r="K34" s="2024" t="s">
        <v>322</v>
      </c>
      <c r="L34" s="391"/>
      <c r="M34" s="1170"/>
      <c r="N34" s="549"/>
      <c r="O34" s="1531" t="s">
        <v>668</v>
      </c>
      <c r="P34" s="549"/>
      <c r="AK34" s="1637">
        <v>103</v>
      </c>
    </row>
    <row s="1647" customFormat="1" customHeight="1" ht="11.549999999999999">
      <c r="A35" s="993"/>
      <c r="B35" s="993"/>
      <c r="C35" s="993"/>
      <c r="D35" s="993"/>
      <c r="E35" s="993"/>
      <c r="F35" s="1642"/>
      <c r="G35" s="1642"/>
      <c r="H35" s="357"/>
      <c r="N35" s="1372"/>
      <c r="P35" s="1372"/>
      <c r="Q35" s="1642"/>
      <c r="R35" s="1642"/>
      <c r="S35" s="1372"/>
      <c r="T35" s="1372"/>
      <c r="U35" s="1372"/>
      <c r="V35" s="1372"/>
      <c r="W35" s="1642"/>
      <c r="X35" s="1372"/>
      <c r="Y35" s="1372"/>
      <c r="Z35" s="550"/>
      <c r="AA35" s="1372"/>
      <c r="AB35" s="1372"/>
      <c r="AC35" s="1372"/>
      <c r="AD35" s="1372"/>
      <c r="AE35" s="1372"/>
      <c r="AF35" s="1638"/>
      <c r="AG35" s="628"/>
      <c r="AH35" s="628"/>
      <c r="AI35" s="628"/>
      <c r="AJ35" s="628"/>
      <c r="AK35" s="1647">
        <v>11</v>
      </c>
    </row>
    <row s="1647" customFormat="1" customHeight="1" ht="11.549999999999999">
      <c r="A36" s="993"/>
      <c r="B36" s="993"/>
      <c r="C36" s="993"/>
      <c r="D36" s="993"/>
      <c r="E36" s="993"/>
      <c r="F36" s="1642"/>
      <c r="G36" s="1642"/>
      <c r="H36" s="357"/>
      <c r="N36" s="1372"/>
      <c r="P36" s="1372"/>
      <c r="Q36" s="1642"/>
      <c r="R36" s="1642"/>
      <c r="S36" s="1372"/>
      <c r="T36" s="1372"/>
      <c r="U36" s="1372"/>
      <c r="V36" s="1372"/>
      <c r="W36" s="1642"/>
      <c r="X36" s="1372"/>
      <c r="Y36" s="1372"/>
      <c r="Z36" s="550"/>
      <c r="AA36" s="1372"/>
      <c r="AB36" s="1372"/>
      <c r="AC36" s="1372"/>
      <c r="AD36" s="1372"/>
      <c r="AE36" s="1372"/>
      <c r="AF36" s="1638"/>
      <c r="AG36" s="628"/>
      <c r="AH36" s="628"/>
      <c r="AI36" s="628"/>
      <c r="AJ36" s="628"/>
      <c r="AK36" s="1647">
        <v>11</v>
      </c>
    </row>
    <row s="1647" customFormat="1" customHeight="1" ht="11.549999999999999">
      <c r="A37" s="993"/>
      <c r="B37" s="993"/>
      <c r="C37" s="993"/>
      <c r="D37" s="993"/>
      <c r="E37" s="993"/>
      <c r="F37" s="1642"/>
      <c r="G37" s="1642"/>
      <c r="H37" s="357"/>
      <c r="L37" s="628"/>
      <c r="M37" s="628"/>
      <c r="N37" s="1372"/>
      <c r="P37" s="1372"/>
      <c r="Q37" s="1642"/>
      <c r="R37" s="1642"/>
      <c r="S37" s="1372"/>
      <c r="T37" s="1372"/>
      <c r="U37" s="1372"/>
      <c r="V37" s="1372"/>
      <c r="W37" s="1642"/>
      <c r="X37" s="1372"/>
      <c r="Y37" s="1372"/>
      <c r="Z37" s="550"/>
      <c r="AA37" s="1372"/>
      <c r="AB37" s="1372"/>
      <c r="AC37" s="1372"/>
      <c r="AD37" s="1372"/>
      <c r="AE37" s="1372"/>
      <c r="AF37" s="1638"/>
      <c r="AG37" s="628"/>
      <c r="AH37" s="628"/>
      <c r="AI37" s="628"/>
      <c r="AJ37" s="628"/>
      <c r="AK37" s="1647">
        <v>11</v>
      </c>
    </row>
    <row s="1647" customFormat="1" customHeight="1" ht="11.549999999999999">
      <c r="A38" s="993"/>
      <c r="B38" s="993"/>
      <c r="C38" s="993"/>
      <c r="D38" s="993"/>
      <c r="E38" s="993"/>
      <c r="F38" s="1642"/>
      <c r="G38" s="1642"/>
      <c r="H38" s="357"/>
      <c r="N38" s="1372"/>
      <c r="P38" s="1372"/>
      <c r="Q38" s="1642"/>
      <c r="R38" s="1642"/>
      <c r="S38" s="1372"/>
      <c r="T38" s="1372"/>
      <c r="U38" s="1372"/>
      <c r="V38" s="1372"/>
      <c r="W38" s="1642"/>
      <c r="X38" s="1372"/>
      <c r="Y38" s="1372"/>
      <c r="Z38" s="550"/>
      <c r="AA38" s="1372"/>
      <c r="AB38" s="1372"/>
      <c r="AC38" s="1372"/>
      <c r="AD38" s="1372"/>
      <c r="AE38" s="1372"/>
      <c r="AF38" s="1638"/>
      <c r="AG38" s="628"/>
      <c r="AH38" s="628"/>
      <c r="AI38" s="628"/>
      <c r="AJ38" s="628"/>
      <c r="AK38" s="1647">
        <v>11</v>
      </c>
    </row>
    <row s="1647" customFormat="1" customHeight="1" ht="11.549999999999999">
      <c r="A39" s="993"/>
      <c r="B39" s="993"/>
      <c r="C39" s="993"/>
      <c r="D39" s="993"/>
      <c r="E39" s="993"/>
      <c r="F39" s="1642"/>
      <c r="G39" s="1642"/>
      <c r="H39" s="357"/>
      <c r="N39" s="1372"/>
      <c r="P39" s="1372"/>
      <c r="Q39" s="1642"/>
      <c r="R39" s="1642"/>
      <c r="S39" s="1372"/>
      <c r="T39" s="1372"/>
      <c r="U39" s="1372"/>
      <c r="V39" s="1372"/>
      <c r="W39" s="1642"/>
      <c r="X39" s="1372"/>
      <c r="Y39" s="1372"/>
      <c r="Z39" s="550"/>
      <c r="AA39" s="1372"/>
      <c r="AB39" s="1372"/>
      <c r="AC39" s="1372"/>
      <c r="AD39" s="1372"/>
      <c r="AE39" s="1372"/>
      <c r="AF39" s="1638"/>
      <c r="AG39" s="628"/>
      <c r="AH39" s="628"/>
      <c r="AI39" s="628"/>
      <c r="AJ39" s="628"/>
      <c r="AK39" s="1647">
        <v>11</v>
      </c>
    </row>
    <row s="1647" customFormat="1" customHeight="1" ht="11.549999999999999">
      <c r="A40" s="993"/>
      <c r="B40" s="993"/>
      <c r="C40" s="993"/>
      <c r="D40" s="993"/>
      <c r="E40" s="993"/>
      <c r="F40" s="1642"/>
      <c r="G40" s="1642"/>
      <c r="H40" s="357"/>
      <c r="N40" s="1372"/>
      <c r="P40" s="1372"/>
      <c r="Q40" s="1642"/>
      <c r="R40" s="1642"/>
      <c r="S40" s="1372"/>
      <c r="T40" s="1372"/>
      <c r="U40" s="1372"/>
      <c r="V40" s="1372"/>
      <c r="W40" s="1642"/>
      <c r="X40" s="1372"/>
      <c r="Y40" s="1372"/>
      <c r="Z40" s="550"/>
      <c r="AA40" s="1372"/>
      <c r="AB40" s="1372"/>
      <c r="AC40" s="1372"/>
      <c r="AD40" s="1372"/>
      <c r="AE40" s="1372"/>
      <c r="AF40" s="1638"/>
      <c r="AG40" s="628"/>
      <c r="AH40" s="628"/>
      <c r="AI40" s="628"/>
      <c r="AJ40" s="628"/>
      <c r="AK40" s="1647">
        <v>11</v>
      </c>
    </row>
    <row s="1647" customFormat="1" customHeight="1" ht="11.549999999999999">
      <c r="A41" s="993"/>
      <c r="B41" s="993"/>
      <c r="C41" s="993"/>
      <c r="D41" s="993"/>
      <c r="E41" s="993"/>
      <c r="F41" s="1642"/>
      <c r="G41" s="1642"/>
      <c r="H41" s="357"/>
      <c r="N41" s="1372"/>
      <c r="P41" s="1372"/>
      <c r="Q41" s="1642"/>
      <c r="R41" s="1642"/>
      <c r="S41" s="1372"/>
      <c r="T41" s="1372"/>
      <c r="U41" s="1372"/>
      <c r="V41" s="1372"/>
      <c r="W41" s="1642"/>
      <c r="X41" s="1372"/>
      <c r="Y41" s="1372"/>
      <c r="Z41" s="550"/>
      <c r="AA41" s="1372"/>
      <c r="AB41" s="1372"/>
      <c r="AC41" s="1372"/>
      <c r="AD41" s="1372"/>
      <c r="AE41" s="1372"/>
      <c r="AF41" s="1638"/>
      <c r="AG41" s="628"/>
      <c r="AH41" s="628"/>
      <c r="AI41" s="628"/>
      <c r="AJ41" s="628"/>
      <c r="AK41" s="1647">
        <v>11</v>
      </c>
    </row>
    <row s="1647" customFormat="1" customHeight="1" ht="11.549999999999999">
      <c r="A42" s="993"/>
      <c r="B42" s="993"/>
      <c r="C42" s="993"/>
      <c r="D42" s="993"/>
      <c r="E42" s="993"/>
      <c r="F42" s="1642"/>
      <c r="G42" s="1642"/>
      <c r="H42" s="357"/>
      <c r="N42" s="1372"/>
      <c r="P42" s="1372"/>
      <c r="Q42" s="1642"/>
      <c r="R42" s="1642"/>
      <c r="S42" s="1372"/>
      <c r="T42" s="1372"/>
      <c r="U42" s="1372"/>
      <c r="V42" s="1372"/>
      <c r="W42" s="1642"/>
      <c r="X42" s="1372"/>
      <c r="Y42" s="1372"/>
      <c r="Z42" s="550"/>
      <c r="AA42" s="1372"/>
      <c r="AB42" s="1372"/>
      <c r="AC42" s="1372"/>
      <c r="AD42" s="1372"/>
      <c r="AE42" s="1372"/>
      <c r="AF42" s="1638"/>
      <c r="AG42" s="628"/>
      <c r="AH42" s="628"/>
      <c r="AI42" s="628"/>
      <c r="AJ42" s="628"/>
      <c r="AK42" s="1647">
        <v>11</v>
      </c>
    </row>
    <row s="1647" customFormat="1" customHeight="1" ht="11.549999999999999">
      <c r="A43" s="993"/>
      <c r="B43" s="993"/>
      <c r="C43" s="993"/>
      <c r="D43" s="993"/>
      <c r="E43" s="993"/>
      <c r="F43" s="1642"/>
      <c r="G43" s="1642"/>
      <c r="H43" s="357"/>
      <c r="N43" s="1372"/>
      <c r="P43" s="1372"/>
      <c r="Q43" s="1642"/>
      <c r="R43" s="1642"/>
      <c r="S43" s="1372"/>
      <c r="T43" s="1372"/>
      <c r="U43" s="1372"/>
      <c r="V43" s="1372"/>
      <c r="W43" s="1642"/>
      <c r="X43" s="1372"/>
      <c r="Y43" s="1372"/>
      <c r="Z43" s="550"/>
      <c r="AA43" s="1372"/>
      <c r="AB43" s="1372"/>
      <c r="AC43" s="1372"/>
      <c r="AD43" s="1372"/>
      <c r="AE43" s="1372"/>
      <c r="AF43" s="1638"/>
      <c r="AG43" s="628"/>
      <c r="AH43" s="628"/>
      <c r="AI43" s="628"/>
      <c r="AJ43" s="628"/>
      <c r="AK43" s="1647">
        <v>11</v>
      </c>
    </row>
    <row s="1647" customFormat="1" customHeight="1" ht="11.549999999999999">
      <c r="A44" s="993"/>
      <c r="B44" s="993"/>
      <c r="C44" s="993"/>
      <c r="D44" s="993"/>
      <c r="E44" s="993"/>
      <c r="F44" s="1642"/>
      <c r="G44" s="1642"/>
      <c r="H44" s="357"/>
      <c r="N44" s="1372"/>
      <c r="P44" s="1372"/>
      <c r="Q44" s="1642"/>
      <c r="R44" s="1642"/>
      <c r="S44" s="1372"/>
      <c r="T44" s="1372"/>
      <c r="U44" s="1372"/>
      <c r="V44" s="1372"/>
      <c r="W44" s="1642"/>
      <c r="X44" s="1372"/>
      <c r="Y44" s="1372"/>
      <c r="Z44" s="550"/>
      <c r="AA44" s="1372"/>
      <c r="AB44" s="1372"/>
      <c r="AC44" s="1372"/>
      <c r="AD44" s="1372"/>
      <c r="AE44" s="1372"/>
      <c r="AF44" s="1638"/>
      <c r="AG44" s="628"/>
      <c r="AH44" s="628"/>
      <c r="AI44" s="628"/>
      <c r="AJ44" s="628"/>
      <c r="AK44" s="1647">
        <v>11</v>
      </c>
    </row>
    <row s="1647" customFormat="1" customHeight="1" ht="11.549999999999999">
      <c r="A45" s="993"/>
      <c r="B45" s="993"/>
      <c r="C45" s="993"/>
      <c r="D45" s="993"/>
      <c r="E45" s="993"/>
      <c r="F45" s="1642"/>
      <c r="G45" s="1642"/>
      <c r="H45" s="357"/>
      <c r="N45" s="1372"/>
      <c r="P45" s="1372"/>
      <c r="Q45" s="1642"/>
      <c r="R45" s="1642"/>
      <c r="S45" s="1372"/>
      <c r="T45" s="1372"/>
      <c r="U45" s="1372"/>
      <c r="V45" s="1372"/>
      <c r="W45" s="1642"/>
      <c r="X45" s="1372"/>
      <c r="Y45" s="1372"/>
      <c r="Z45" s="550"/>
      <c r="AA45" s="1372"/>
      <c r="AB45" s="1372"/>
      <c r="AC45" s="1372"/>
      <c r="AD45" s="1372"/>
      <c r="AE45" s="1372"/>
      <c r="AF45" s="1638"/>
      <c r="AG45" s="628"/>
      <c r="AH45" s="628"/>
      <c r="AI45" s="628"/>
      <c r="AJ45" s="628"/>
      <c r="AK45" s="1647">
        <v>11</v>
      </c>
    </row>
    <row s="1647" customFormat="1" customHeight="1" ht="11.549999999999999">
      <c r="A46" s="993"/>
      <c r="B46" s="993"/>
      <c r="C46" s="993"/>
      <c r="D46" s="993"/>
      <c r="E46" s="993"/>
      <c r="F46" s="1642"/>
      <c r="G46" s="1642"/>
      <c r="H46" s="357"/>
      <c r="N46" s="1372"/>
      <c r="P46" s="1372"/>
      <c r="Q46" s="1642"/>
      <c r="R46" s="1642"/>
      <c r="S46" s="1372"/>
      <c r="T46" s="1372"/>
      <c r="U46" s="1372"/>
      <c r="V46" s="1372"/>
      <c r="W46" s="1642"/>
      <c r="X46" s="1372"/>
      <c r="Y46" s="1372"/>
      <c r="Z46" s="550"/>
      <c r="AA46" s="1372"/>
      <c r="AB46" s="1372"/>
      <c r="AC46" s="1372"/>
      <c r="AD46" s="1372"/>
      <c r="AE46" s="1372"/>
      <c r="AF46" s="1638"/>
      <c r="AG46" s="628"/>
      <c r="AH46" s="628"/>
      <c r="AI46" s="628"/>
      <c r="AJ46" s="628"/>
      <c r="AK46" s="1647">
        <v>11</v>
      </c>
    </row>
    <row s="1647" customFormat="1" customHeight="1" ht="11.549999999999999">
      <c r="A47" s="993"/>
      <c r="B47" s="993"/>
      <c r="C47" s="993"/>
      <c r="D47" s="993"/>
      <c r="E47" s="993"/>
      <c r="F47" s="1642"/>
      <c r="G47" s="1642"/>
      <c r="H47" s="357"/>
      <c r="N47" s="1372"/>
      <c r="P47" s="1372"/>
      <c r="Q47" s="1642"/>
      <c r="R47" s="1642"/>
      <c r="S47" s="1372"/>
      <c r="T47" s="1372"/>
      <c r="U47" s="1372"/>
      <c r="V47" s="1372"/>
      <c r="W47" s="1642"/>
      <c r="X47" s="1372"/>
      <c r="Y47" s="1372"/>
      <c r="Z47" s="550"/>
      <c r="AA47" s="1372"/>
      <c r="AB47" s="1372"/>
      <c r="AC47" s="1372"/>
      <c r="AD47" s="1372"/>
      <c r="AE47" s="1372"/>
      <c r="AF47" s="1638"/>
      <c r="AG47" s="628"/>
      <c r="AH47" s="628"/>
      <c r="AI47" s="628"/>
      <c r="AJ47" s="628"/>
      <c r="AK47" s="1647">
        <v>11</v>
      </c>
    </row>
    <row s="1647" customFormat="1" customHeight="1" ht="11.549999999999999">
      <c r="A48" s="993"/>
      <c r="B48" s="993"/>
      <c r="C48" s="993"/>
      <c r="D48" s="993"/>
      <c r="E48" s="993"/>
      <c r="F48" s="1642"/>
      <c r="G48" s="1642"/>
      <c r="H48" s="357"/>
      <c r="N48" s="1372"/>
      <c r="P48" s="1372"/>
      <c r="Q48" s="1642"/>
      <c r="R48" s="1642"/>
      <c r="S48" s="1372"/>
      <c r="T48" s="1372"/>
      <c r="U48" s="1372"/>
      <c r="V48" s="1372"/>
      <c r="W48" s="1642"/>
      <c r="X48" s="1372"/>
      <c r="Y48" s="1372"/>
      <c r="Z48" s="550"/>
      <c r="AA48" s="1372"/>
      <c r="AB48" s="1372"/>
      <c r="AC48" s="1372"/>
      <c r="AD48" s="1372"/>
      <c r="AE48" s="1372"/>
      <c r="AF48" s="1638"/>
      <c r="AG48" s="628"/>
      <c r="AH48" s="628"/>
      <c r="AI48" s="628"/>
      <c r="AJ48" s="628"/>
      <c r="AK48" s="1647">
        <v>11</v>
      </c>
    </row>
    <row s="1647" customFormat="1" customHeight="1" ht="11.549999999999999">
      <c r="A49" s="993"/>
      <c r="B49" s="993"/>
      <c r="C49" s="993"/>
      <c r="D49" s="993"/>
      <c r="E49" s="993"/>
      <c r="F49" s="1642"/>
      <c r="G49" s="1642"/>
      <c r="H49" s="357"/>
      <c r="N49" s="1372"/>
      <c r="P49" s="1372"/>
      <c r="Q49" s="1642"/>
      <c r="R49" s="1642"/>
      <c r="S49" s="1372"/>
      <c r="T49" s="1372"/>
      <c r="U49" s="1372"/>
      <c r="V49" s="1372"/>
      <c r="W49" s="1642"/>
      <c r="X49" s="1372"/>
      <c r="Y49" s="1372"/>
      <c r="Z49" s="550"/>
      <c r="AA49" s="1372"/>
      <c r="AB49" s="1372"/>
      <c r="AC49" s="1372"/>
      <c r="AD49" s="1372"/>
      <c r="AE49" s="1372"/>
      <c r="AF49" s="1638"/>
      <c r="AG49" s="628"/>
      <c r="AH49" s="628"/>
      <c r="AI49" s="628"/>
      <c r="AJ49" s="628"/>
      <c r="AK49" s="1647">
        <v>11</v>
      </c>
    </row>
    <row s="1647" customFormat="1" customHeight="1" ht="11.549999999999999">
      <c r="A50" s="993"/>
      <c r="B50" s="993"/>
      <c r="C50" s="993"/>
      <c r="D50" s="993"/>
      <c r="E50" s="993"/>
      <c r="F50" s="1642"/>
      <c r="G50" s="1642"/>
      <c r="H50" s="357"/>
      <c r="N50" s="1372"/>
      <c r="P50" s="1372"/>
      <c r="Q50" s="1642"/>
      <c r="R50" s="1642"/>
      <c r="S50" s="1372"/>
      <c r="T50" s="1372"/>
      <c r="U50" s="1372"/>
      <c r="V50" s="1372"/>
      <c r="W50" s="1642"/>
      <c r="X50" s="1372"/>
      <c r="Y50" s="1372"/>
      <c r="Z50" s="550"/>
      <c r="AA50" s="1372"/>
      <c r="AB50" s="1372"/>
      <c r="AC50" s="1372"/>
      <c r="AD50" s="1372"/>
      <c r="AE50" s="1372"/>
      <c r="AF50" s="1638"/>
      <c r="AG50" s="628"/>
      <c r="AH50" s="628"/>
      <c r="AI50" s="628"/>
      <c r="AJ50" s="628"/>
      <c r="AK50" s="1647">
        <v>11</v>
      </c>
    </row>
    <row s="1647" customFormat="1" customHeight="1" ht="11.549999999999999">
      <c r="A51" s="993"/>
      <c r="B51" s="993"/>
      <c r="C51" s="993"/>
      <c r="D51" s="993"/>
      <c r="E51" s="993"/>
      <c r="F51" s="1642"/>
      <c r="G51" s="1642"/>
      <c r="H51" s="357"/>
      <c r="N51" s="1372"/>
      <c r="P51" s="1372"/>
      <c r="Q51" s="1642"/>
      <c r="R51" s="1642"/>
      <c r="S51" s="1372"/>
      <c r="T51" s="1372"/>
      <c r="U51" s="1372"/>
      <c r="V51" s="1372"/>
      <c r="W51" s="1642"/>
      <c r="X51" s="1372"/>
      <c r="Y51" s="1372"/>
      <c r="Z51" s="550"/>
      <c r="AA51" s="1372"/>
      <c r="AB51" s="1372"/>
      <c r="AC51" s="1372"/>
      <c r="AD51" s="1372"/>
      <c r="AE51" s="1372"/>
      <c r="AF51" s="1638"/>
      <c r="AG51" s="628"/>
      <c r="AH51" s="628"/>
      <c r="AI51" s="628"/>
      <c r="AJ51" s="628"/>
      <c r="AK51" s="1647">
        <v>11</v>
      </c>
    </row>
    <row s="1647" customFormat="1" customHeight="1" ht="11.549999999999999">
      <c r="A52" s="993"/>
      <c r="B52" s="993"/>
      <c r="C52" s="993"/>
      <c r="D52" s="993"/>
      <c r="E52" s="993"/>
      <c r="F52" s="1642"/>
      <c r="G52" s="1642"/>
      <c r="H52" s="357"/>
      <c r="N52" s="1372"/>
      <c r="P52" s="1372"/>
      <c r="Q52" s="1642"/>
      <c r="R52" s="1642"/>
      <c r="S52" s="1372"/>
      <c r="T52" s="1372"/>
      <c r="U52" s="1372"/>
      <c r="V52" s="1372"/>
      <c r="W52" s="1642"/>
      <c r="X52" s="1372"/>
      <c r="Y52" s="1372"/>
      <c r="Z52" s="550"/>
      <c r="AA52" s="1372"/>
      <c r="AB52" s="1372"/>
      <c r="AC52" s="1372"/>
      <c r="AD52" s="1372"/>
      <c r="AE52" s="1372"/>
      <c r="AF52" s="1638"/>
      <c r="AG52" s="628"/>
      <c r="AH52" s="628"/>
      <c r="AI52" s="628"/>
      <c r="AJ52" s="628"/>
      <c r="AK52" s="1647">
        <v>11</v>
      </c>
    </row>
    <row s="1647" customFormat="1" customHeight="1" ht="11.549999999999999">
      <c r="A53" s="993"/>
      <c r="B53" s="993"/>
      <c r="C53" s="993"/>
      <c r="D53" s="993"/>
      <c r="E53" s="993"/>
      <c r="F53" s="1642"/>
      <c r="G53" s="1642"/>
      <c r="H53" s="357"/>
      <c r="N53" s="1372"/>
      <c r="P53" s="1372"/>
      <c r="Q53" s="1642"/>
      <c r="R53" s="1642"/>
      <c r="S53" s="1372"/>
      <c r="T53" s="1372"/>
      <c r="U53" s="1372"/>
      <c r="V53" s="1372"/>
      <c r="W53" s="1642"/>
      <c r="X53" s="1372"/>
      <c r="Y53" s="1372"/>
      <c r="Z53" s="550"/>
      <c r="AA53" s="1372"/>
      <c r="AB53" s="1372"/>
      <c r="AC53" s="1372"/>
      <c r="AD53" s="1372"/>
      <c r="AE53" s="1372"/>
      <c r="AF53" s="1638"/>
      <c r="AG53" s="628"/>
      <c r="AH53" s="628"/>
      <c r="AI53" s="628"/>
      <c r="AJ53" s="628"/>
      <c r="AK53" s="1647">
        <v>11</v>
      </c>
    </row>
    <row s="1647" customFormat="1" customHeight="1" ht="11.549999999999999">
      <c r="A54" s="993"/>
      <c r="B54" s="993"/>
      <c r="C54" s="993"/>
      <c r="D54" s="993"/>
      <c r="E54" s="993"/>
      <c r="F54" s="1642"/>
      <c r="G54" s="1642"/>
      <c r="H54" s="357"/>
      <c r="N54" s="1372"/>
      <c r="P54" s="1372"/>
      <c r="Q54" s="1642"/>
      <c r="R54" s="1642"/>
      <c r="S54" s="1372"/>
      <c r="T54" s="1372"/>
      <c r="U54" s="1372"/>
      <c r="V54" s="1372"/>
      <c r="W54" s="1642"/>
      <c r="X54" s="1372"/>
      <c r="Y54" s="1372"/>
      <c r="Z54" s="550"/>
      <c r="AA54" s="1372"/>
      <c r="AB54" s="1372"/>
      <c r="AC54" s="1372"/>
      <c r="AD54" s="1372"/>
      <c r="AE54" s="1372"/>
      <c r="AF54" s="1638"/>
      <c r="AG54" s="628"/>
      <c r="AH54" s="628"/>
      <c r="AI54" s="628"/>
      <c r="AJ54" s="628"/>
      <c r="AK54" s="1647">
        <v>11</v>
      </c>
    </row>
    <row s="1647" customFormat="1" customHeight="1" ht="11.549999999999999">
      <c r="A55" s="993"/>
      <c r="B55" s="993"/>
      <c r="C55" s="993"/>
      <c r="D55" s="993"/>
      <c r="E55" s="993"/>
      <c r="F55" s="1642"/>
      <c r="G55" s="1642"/>
      <c r="H55" s="357"/>
      <c r="N55" s="1372"/>
      <c r="P55" s="1372"/>
      <c r="Q55" s="1642"/>
      <c r="R55" s="1642"/>
      <c r="S55" s="1372"/>
      <c r="T55" s="1372"/>
      <c r="U55" s="1372"/>
      <c r="V55" s="1372"/>
      <c r="W55" s="1642"/>
      <c r="X55" s="1372"/>
      <c r="Y55" s="1372"/>
      <c r="Z55" s="550"/>
      <c r="AA55" s="1372"/>
      <c r="AB55" s="1372"/>
      <c r="AC55" s="1372"/>
      <c r="AD55" s="1372"/>
      <c r="AE55" s="1372"/>
      <c r="AF55" s="1638"/>
      <c r="AG55" s="628"/>
      <c r="AH55" s="628"/>
      <c r="AI55" s="628"/>
      <c r="AJ55" s="628"/>
      <c r="AK55" s="1647">
        <v>11</v>
      </c>
    </row>
    <row s="1647" customFormat="1" customHeight="1" ht="11.549999999999999">
      <c r="A56" s="993"/>
      <c r="B56" s="993"/>
      <c r="C56" s="993"/>
      <c r="D56" s="993"/>
      <c r="E56" s="993"/>
      <c r="F56" s="1642"/>
      <c r="G56" s="1642"/>
      <c r="H56" s="357"/>
      <c r="N56" s="1372"/>
      <c r="P56" s="1372"/>
      <c r="Q56" s="1642"/>
      <c r="R56" s="1642"/>
      <c r="S56" s="1372"/>
      <c r="T56" s="1372"/>
      <c r="U56" s="1372"/>
      <c r="V56" s="1372"/>
      <c r="W56" s="1642"/>
      <c r="X56" s="1372"/>
      <c r="Y56" s="1372"/>
      <c r="Z56" s="550"/>
      <c r="AA56" s="1372"/>
      <c r="AB56" s="1372"/>
      <c r="AC56" s="1372"/>
      <c r="AD56" s="1372"/>
      <c r="AE56" s="1372"/>
      <c r="AF56" s="1638"/>
      <c r="AG56" s="628"/>
      <c r="AH56" s="628"/>
      <c r="AI56" s="628"/>
      <c r="AJ56" s="628"/>
      <c r="AK56" s="1647">
        <v>11</v>
      </c>
    </row>
    <row s="1647" customFormat="1" customHeight="1" ht="11.549999999999999">
      <c r="A57" s="993"/>
      <c r="B57" s="993"/>
      <c r="C57" s="993"/>
      <c r="D57" s="993"/>
      <c r="E57" s="993"/>
      <c r="F57" s="1642"/>
      <c r="G57" s="1642"/>
      <c r="H57" s="357"/>
      <c r="N57" s="1372"/>
      <c r="P57" s="1372"/>
      <c r="Q57" s="1642"/>
      <c r="R57" s="1642"/>
      <c r="S57" s="1372"/>
      <c r="T57" s="1372"/>
      <c r="U57" s="1372"/>
      <c r="V57" s="1372"/>
      <c r="W57" s="1642"/>
      <c r="X57" s="1372"/>
      <c r="Y57" s="1372"/>
      <c r="Z57" s="550"/>
      <c r="AA57" s="1372"/>
      <c r="AB57" s="1372"/>
      <c r="AC57" s="1372"/>
      <c r="AD57" s="1372"/>
      <c r="AE57" s="1372"/>
      <c r="AF57" s="1638"/>
      <c r="AG57" s="628"/>
      <c r="AH57" s="628"/>
      <c r="AI57" s="628"/>
      <c r="AJ57" s="628"/>
      <c r="AK57" s="1647">
        <v>11</v>
      </c>
    </row>
    <row s="1647" customFormat="1" customHeight="1" ht="11.549999999999999">
      <c r="A58" s="993"/>
      <c r="B58" s="993"/>
      <c r="C58" s="993"/>
      <c r="D58" s="993"/>
      <c r="E58" s="993"/>
      <c r="F58" s="1642"/>
      <c r="G58" s="1642"/>
      <c r="H58" s="357"/>
      <c r="N58" s="1372"/>
      <c r="P58" s="1372"/>
      <c r="Q58" s="1642"/>
      <c r="R58" s="1642"/>
      <c r="S58" s="1372"/>
      <c r="T58" s="1372"/>
      <c r="U58" s="1372"/>
      <c r="V58" s="1372"/>
      <c r="W58" s="1642"/>
      <c r="X58" s="1372"/>
      <c r="Y58" s="1372"/>
      <c r="Z58" s="550"/>
      <c r="AA58" s="1372"/>
      <c r="AB58" s="1372"/>
      <c r="AC58" s="1372"/>
      <c r="AD58" s="1372"/>
      <c r="AE58" s="1372"/>
      <c r="AF58" s="1638"/>
      <c r="AG58" s="628"/>
      <c r="AH58" s="628"/>
      <c r="AI58" s="628"/>
      <c r="AJ58" s="628"/>
      <c r="AK58" s="1647">
        <v>11</v>
      </c>
    </row>
    <row s="1647" customFormat="1" customHeight="1" ht="11.549999999999999">
      <c r="A59" s="993"/>
      <c r="B59" s="993"/>
      <c r="C59" s="993"/>
      <c r="D59" s="993"/>
      <c r="E59" s="993"/>
      <c r="F59" s="1642"/>
      <c r="G59" s="1642"/>
      <c r="H59" s="357"/>
      <c r="N59" s="1372"/>
      <c r="P59" s="1372"/>
      <c r="Q59" s="1642"/>
      <c r="R59" s="1642"/>
      <c r="S59" s="1372"/>
      <c r="T59" s="1372"/>
      <c r="U59" s="1372"/>
      <c r="V59" s="1372"/>
      <c r="W59" s="1642"/>
      <c r="X59" s="1372"/>
      <c r="Y59" s="1372"/>
      <c r="Z59" s="550"/>
      <c r="AA59" s="1372"/>
      <c r="AB59" s="1372"/>
      <c r="AC59" s="1372"/>
      <c r="AD59" s="1372"/>
      <c r="AE59" s="1372"/>
      <c r="AF59" s="1638"/>
      <c r="AG59" s="628"/>
      <c r="AH59" s="628"/>
      <c r="AI59" s="628"/>
      <c r="AJ59" s="628"/>
      <c r="AK59" s="1647">
        <v>11</v>
      </c>
    </row>
    <row s="1647" customFormat="1" customHeight="1" ht="11.549999999999999">
      <c r="A60" s="993"/>
      <c r="B60" s="993"/>
      <c r="C60" s="993"/>
      <c r="D60" s="993"/>
      <c r="E60" s="993"/>
      <c r="F60" s="1642"/>
      <c r="G60" s="1642"/>
      <c r="H60" s="357"/>
      <c r="N60" s="1372"/>
      <c r="P60" s="1372"/>
      <c r="Q60" s="1642"/>
      <c r="R60" s="1642"/>
      <c r="S60" s="1372"/>
      <c r="T60" s="1372"/>
      <c r="U60" s="1372"/>
      <c r="V60" s="1372"/>
      <c r="W60" s="1642"/>
      <c r="X60" s="1372"/>
      <c r="Y60" s="1372"/>
      <c r="Z60" s="550"/>
      <c r="AA60" s="1372"/>
      <c r="AB60" s="1372"/>
      <c r="AC60" s="1372"/>
      <c r="AD60" s="1372"/>
      <c r="AE60" s="1372"/>
      <c r="AF60" s="1638"/>
      <c r="AG60" s="628"/>
      <c r="AH60" s="628"/>
      <c r="AI60" s="628"/>
      <c r="AJ60" s="628"/>
      <c r="AK60" s="1647">
        <v>11</v>
      </c>
    </row>
    <row s="1647" customFormat="1" customHeight="1" ht="11.549999999999999">
      <c r="A61" s="993"/>
      <c r="B61" s="993"/>
      <c r="C61" s="993"/>
      <c r="D61" s="993"/>
      <c r="E61" s="993"/>
      <c r="F61" s="1642"/>
      <c r="G61" s="1642"/>
      <c r="H61" s="357"/>
      <c r="N61" s="1372"/>
      <c r="P61" s="1372"/>
      <c r="Q61" s="1642"/>
      <c r="R61" s="1642"/>
      <c r="S61" s="1372"/>
      <c r="T61" s="1372"/>
      <c r="U61" s="1372"/>
      <c r="V61" s="1372"/>
      <c r="W61" s="1642"/>
      <c r="X61" s="1372"/>
      <c r="Y61" s="1372"/>
      <c r="Z61" s="550"/>
      <c r="AA61" s="1372"/>
      <c r="AB61" s="1372"/>
      <c r="AC61" s="1372"/>
      <c r="AD61" s="1372"/>
      <c r="AE61" s="1372"/>
      <c r="AF61" s="1638"/>
      <c r="AG61" s="628"/>
      <c r="AH61" s="628"/>
      <c r="AI61" s="628"/>
      <c r="AJ61" s="628"/>
      <c r="AK61" s="1647">
        <v>11</v>
      </c>
    </row>
    <row s="1647" customFormat="1" customHeight="1" ht="11.549999999999999">
      <c r="A62" s="993"/>
      <c r="B62" s="993"/>
      <c r="C62" s="993"/>
      <c r="D62" s="993"/>
      <c r="E62" s="993"/>
      <c r="F62" s="1642"/>
      <c r="G62" s="1642"/>
      <c r="H62" s="357"/>
      <c r="N62" s="1372"/>
      <c r="P62" s="1372"/>
      <c r="Q62" s="1642"/>
      <c r="R62" s="1642"/>
      <c r="S62" s="1372"/>
      <c r="T62" s="1372"/>
      <c r="U62" s="1372"/>
      <c r="V62" s="1372"/>
      <c r="W62" s="1642"/>
      <c r="X62" s="1372"/>
      <c r="Y62" s="1372"/>
      <c r="Z62" s="550"/>
      <c r="AA62" s="1372"/>
      <c r="AB62" s="1372"/>
      <c r="AC62" s="1372"/>
      <c r="AD62" s="1372"/>
      <c r="AE62" s="1372"/>
      <c r="AF62" s="1638"/>
      <c r="AG62" s="628"/>
      <c r="AH62" s="628"/>
      <c r="AI62" s="628"/>
      <c r="AJ62" s="628"/>
      <c r="AK62" s="1647">
        <v>11</v>
      </c>
    </row>
    <row s="1647" customFormat="1" customHeight="1" ht="11.549999999999999">
      <c r="A63" s="993"/>
      <c r="B63" s="993"/>
      <c r="C63" s="993"/>
      <c r="D63" s="993"/>
      <c r="E63" s="993"/>
      <c r="F63" s="1642"/>
      <c r="G63" s="1642"/>
      <c r="H63" s="357"/>
      <c r="N63" s="1372"/>
      <c r="P63" s="1372"/>
      <c r="Q63" s="1642"/>
      <c r="R63" s="1642"/>
      <c r="S63" s="1372"/>
      <c r="T63" s="1372"/>
      <c r="U63" s="1372"/>
      <c r="V63" s="1372"/>
      <c r="W63" s="1642"/>
      <c r="X63" s="1372"/>
      <c r="Y63" s="1372"/>
      <c r="Z63" s="550"/>
      <c r="AA63" s="1372"/>
      <c r="AB63" s="1372"/>
      <c r="AC63" s="1372"/>
      <c r="AD63" s="1372"/>
      <c r="AE63" s="1372"/>
      <c r="AF63" s="1638"/>
      <c r="AG63" s="628"/>
      <c r="AH63" s="628"/>
      <c r="AI63" s="628"/>
      <c r="AJ63" s="628"/>
      <c r="AK63" s="1647">
        <v>11</v>
      </c>
    </row>
    <row s="1647" customFormat="1" customHeight="1" ht="11.549999999999999">
      <c r="A64" s="993"/>
      <c r="B64" s="993"/>
      <c r="C64" s="993"/>
      <c r="D64" s="993"/>
      <c r="E64" s="993"/>
      <c r="F64" s="1642"/>
      <c r="G64" s="1642"/>
      <c r="H64" s="357"/>
      <c r="N64" s="1372"/>
      <c r="P64" s="1372"/>
      <c r="Q64" s="1642"/>
      <c r="R64" s="1642"/>
      <c r="S64" s="1372"/>
      <c r="T64" s="1372"/>
      <c r="U64" s="1372"/>
      <c r="V64" s="1372"/>
      <c r="W64" s="1642"/>
      <c r="X64" s="1372"/>
      <c r="Y64" s="1372"/>
      <c r="Z64" s="550"/>
      <c r="AA64" s="1372"/>
      <c r="AB64" s="1372"/>
      <c r="AC64" s="1372"/>
      <c r="AD64" s="1372"/>
      <c r="AE64" s="1372"/>
      <c r="AF64" s="1638"/>
      <c r="AG64" s="628"/>
      <c r="AH64" s="628"/>
      <c r="AI64" s="628"/>
      <c r="AJ64" s="628"/>
      <c r="AK64" s="1647">
        <v>11</v>
      </c>
    </row>
    <row s="1647" customFormat="1" customHeight="1" ht="11.549999999999999">
      <c r="A65" s="993"/>
      <c r="B65" s="993"/>
      <c r="C65" s="993"/>
      <c r="D65" s="993"/>
      <c r="E65" s="993"/>
      <c r="F65" s="1642"/>
      <c r="G65" s="1642"/>
      <c r="H65" s="357"/>
      <c r="N65" s="1372"/>
      <c r="P65" s="1372"/>
      <c r="Q65" s="1642"/>
      <c r="R65" s="1642"/>
      <c r="S65" s="1372"/>
      <c r="T65" s="1372"/>
      <c r="U65" s="1372"/>
      <c r="V65" s="1372"/>
      <c r="W65" s="1642"/>
      <c r="X65" s="1372"/>
      <c r="Y65" s="1372"/>
      <c r="Z65" s="550"/>
      <c r="AA65" s="1372"/>
      <c r="AB65" s="1372"/>
      <c r="AC65" s="1372"/>
      <c r="AD65" s="1372"/>
      <c r="AE65" s="1372"/>
      <c r="AF65" s="1638"/>
      <c r="AG65" s="628"/>
      <c r="AH65" s="628"/>
      <c r="AI65" s="628"/>
      <c r="AJ65" s="628"/>
      <c r="AK65" s="1647">
        <v>11</v>
      </c>
    </row>
    <row s="1647" customFormat="1" customHeight="1" ht="11.549999999999999">
      <c r="A66" s="993"/>
      <c r="B66" s="993"/>
      <c r="C66" s="993"/>
      <c r="D66" s="993"/>
      <c r="E66" s="993"/>
      <c r="F66" s="1642"/>
      <c r="G66" s="1642"/>
      <c r="H66" s="357"/>
      <c r="N66" s="1372"/>
      <c r="P66" s="1372"/>
      <c r="Q66" s="1642"/>
      <c r="R66" s="1642"/>
      <c r="S66" s="1372"/>
      <c r="T66" s="1372"/>
      <c r="U66" s="1372"/>
      <c r="V66" s="1372"/>
      <c r="W66" s="1642"/>
      <c r="X66" s="1372"/>
      <c r="Y66" s="1372"/>
      <c r="Z66" s="550"/>
      <c r="AA66" s="1372"/>
      <c r="AB66" s="1372"/>
      <c r="AC66" s="1372"/>
      <c r="AD66" s="1372"/>
      <c r="AE66" s="1372"/>
      <c r="AF66" s="1638"/>
      <c r="AG66" s="628"/>
      <c r="AH66" s="628"/>
      <c r="AI66" s="628"/>
      <c r="AJ66" s="628"/>
      <c r="AK66" s="1647">
        <v>11</v>
      </c>
    </row>
    <row s="1647" customFormat="1" customHeight="1" ht="11.549999999999999">
      <c r="A67" s="993"/>
      <c r="B67" s="993"/>
      <c r="C67" s="993"/>
      <c r="D67" s="993"/>
      <c r="E67" s="993"/>
      <c r="F67" s="1642"/>
      <c r="G67" s="1642"/>
      <c r="H67" s="357"/>
      <c r="N67" s="1372"/>
      <c r="P67" s="1372"/>
      <c r="Q67" s="1642"/>
      <c r="R67" s="1642"/>
      <c r="S67" s="1372"/>
      <c r="T67" s="1372"/>
      <c r="U67" s="1372"/>
      <c r="V67" s="1372"/>
      <c r="W67" s="1642"/>
      <c r="X67" s="1372"/>
      <c r="Y67" s="1372"/>
      <c r="Z67" s="550"/>
      <c r="AA67" s="1372"/>
      <c r="AB67" s="1372"/>
      <c r="AC67" s="1372"/>
      <c r="AD67" s="1372"/>
      <c r="AE67" s="1372"/>
      <c r="AF67" s="1638"/>
      <c r="AG67" s="628"/>
      <c r="AH67" s="628"/>
      <c r="AI67" s="628"/>
      <c r="AJ67" s="628"/>
      <c r="AK67" s="1647">
        <v>11</v>
      </c>
    </row>
    <row s="1647" customFormat="1" customHeight="1" ht="11.549999999999999">
      <c r="A68" s="993"/>
      <c r="B68" s="993"/>
      <c r="C68" s="993"/>
      <c r="D68" s="993"/>
      <c r="E68" s="993"/>
      <c r="F68" s="1642"/>
      <c r="G68" s="1642"/>
      <c r="H68" s="357"/>
      <c r="N68" s="1372"/>
      <c r="P68" s="1372"/>
      <c r="Q68" s="1642"/>
      <c r="R68" s="1642"/>
      <c r="S68" s="1372"/>
      <c r="T68" s="1372"/>
      <c r="U68" s="1372"/>
      <c r="V68" s="1372"/>
      <c r="W68" s="1642"/>
      <c r="X68" s="1372"/>
      <c r="Y68" s="1372"/>
      <c r="Z68" s="550"/>
      <c r="AA68" s="1372"/>
      <c r="AB68" s="1372"/>
      <c r="AC68" s="1372"/>
      <c r="AD68" s="1372"/>
      <c r="AE68" s="1372"/>
      <c r="AF68" s="1638"/>
      <c r="AG68" s="628"/>
      <c r="AH68" s="628"/>
      <c r="AI68" s="628"/>
      <c r="AJ68" s="628"/>
      <c r="AK68" s="1647">
        <v>11</v>
      </c>
    </row>
    <row s="1647" customFormat="1" customHeight="1" ht="11.549999999999999">
      <c r="A69" s="993"/>
      <c r="B69" s="993"/>
      <c r="C69" s="993"/>
      <c r="D69" s="993"/>
      <c r="E69" s="993"/>
      <c r="F69" s="1642"/>
      <c r="G69" s="1642"/>
      <c r="H69" s="357"/>
      <c r="N69" s="1372"/>
      <c r="P69" s="1372"/>
      <c r="Q69" s="1642"/>
      <c r="R69" s="1642"/>
      <c r="S69" s="1372"/>
      <c r="T69" s="1372"/>
      <c r="U69" s="1372"/>
      <c r="V69" s="1372"/>
      <c r="W69" s="1642"/>
      <c r="X69" s="1372"/>
      <c r="Y69" s="1372"/>
      <c r="Z69" s="550"/>
      <c r="AA69" s="1372"/>
      <c r="AB69" s="1372"/>
      <c r="AC69" s="1372"/>
      <c r="AD69" s="1372"/>
      <c r="AE69" s="1372"/>
      <c r="AF69" s="1638"/>
      <c r="AG69" s="628"/>
      <c r="AH69" s="628"/>
      <c r="AI69" s="628"/>
      <c r="AJ69" s="628"/>
      <c r="AK69" s="1647">
        <v>11</v>
      </c>
    </row>
    <row s="1647" customFormat="1" customHeight="1" ht="11.549999999999999">
      <c r="A70" s="993"/>
      <c r="B70" s="993"/>
      <c r="C70" s="993"/>
      <c r="D70" s="993"/>
      <c r="E70" s="993"/>
      <c r="F70" s="1642"/>
      <c r="G70" s="1642"/>
      <c r="H70" s="357"/>
      <c r="N70" s="1372"/>
      <c r="P70" s="1372"/>
      <c r="Q70" s="1642"/>
      <c r="R70" s="1642"/>
      <c r="S70" s="1372"/>
      <c r="T70" s="1372"/>
      <c r="U70" s="1372"/>
      <c r="V70" s="1372"/>
      <c r="W70" s="1642"/>
      <c r="X70" s="1372"/>
      <c r="Y70" s="1372"/>
      <c r="Z70" s="550"/>
      <c r="AA70" s="1372"/>
      <c r="AB70" s="1372"/>
      <c r="AC70" s="1372"/>
      <c r="AD70" s="1372"/>
      <c r="AE70" s="1372"/>
      <c r="AF70" s="1638"/>
      <c r="AG70" s="628"/>
      <c r="AH70" s="628"/>
      <c r="AI70" s="628"/>
      <c r="AJ70" s="628"/>
      <c r="AK70" s="1647">
        <v>11</v>
      </c>
    </row>
    <row s="1647" customFormat="1" customHeight="1" ht="11.549999999999999">
      <c r="A71" s="993"/>
      <c r="B71" s="993"/>
      <c r="C71" s="993"/>
      <c r="D71" s="993"/>
      <c r="E71" s="993"/>
      <c r="F71" s="1642"/>
      <c r="G71" s="1642"/>
      <c r="H71" s="357"/>
      <c r="N71" s="1372"/>
      <c r="P71" s="1372"/>
      <c r="Q71" s="1642"/>
      <c r="R71" s="1642"/>
      <c r="S71" s="1372"/>
      <c r="T71" s="1372"/>
      <c r="U71" s="1372"/>
      <c r="V71" s="1372"/>
      <c r="W71" s="1642"/>
      <c r="X71" s="1372"/>
      <c r="Y71" s="1372"/>
      <c r="Z71" s="550"/>
      <c r="AA71" s="1372"/>
      <c r="AB71" s="1372"/>
      <c r="AC71" s="1372"/>
      <c r="AD71" s="1372"/>
      <c r="AE71" s="1372"/>
      <c r="AF71" s="1638"/>
      <c r="AG71" s="628"/>
      <c r="AH71" s="628"/>
      <c r="AI71" s="628"/>
      <c r="AJ71" s="628"/>
      <c r="AK71" s="1647">
        <v>11</v>
      </c>
    </row>
    <row s="1647" customFormat="1" customHeight="1" ht="11.549999999999999">
      <c r="A72" s="993"/>
      <c r="B72" s="993"/>
      <c r="C72" s="993"/>
      <c r="D72" s="993"/>
      <c r="E72" s="993"/>
      <c r="F72" s="1642"/>
      <c r="G72" s="1642"/>
      <c r="H72" s="357"/>
      <c r="N72" s="1372"/>
      <c r="P72" s="1372"/>
      <c r="Q72" s="1642"/>
      <c r="R72" s="1642"/>
      <c r="S72" s="1372"/>
      <c r="T72" s="1372"/>
      <c r="U72" s="1372"/>
      <c r="V72" s="1372"/>
      <c r="W72" s="1642"/>
      <c r="X72" s="1372"/>
      <c r="Y72" s="1372"/>
      <c r="Z72" s="550"/>
      <c r="AA72" s="1372"/>
      <c r="AB72" s="1372"/>
      <c r="AC72" s="1372"/>
      <c r="AD72" s="1372"/>
      <c r="AE72" s="1372"/>
      <c r="AF72" s="1638"/>
      <c r="AG72" s="628"/>
      <c r="AH72" s="628"/>
      <c r="AI72" s="628"/>
      <c r="AJ72" s="628"/>
      <c r="AK72" s="1647">
        <v>11</v>
      </c>
    </row>
    <row s="1647" customFormat="1" customHeight="1" ht="11.549999999999999">
      <c r="A73" s="993"/>
      <c r="B73" s="993"/>
      <c r="C73" s="993"/>
      <c r="D73" s="993"/>
      <c r="E73" s="993"/>
      <c r="F73" s="1642"/>
      <c r="G73" s="1642"/>
      <c r="H73" s="357"/>
      <c r="N73" s="1372"/>
      <c r="P73" s="1372"/>
      <c r="Q73" s="1642"/>
      <c r="R73" s="1642"/>
      <c r="S73" s="1372"/>
      <c r="T73" s="1372"/>
      <c r="U73" s="1372"/>
      <c r="V73" s="1372"/>
      <c r="W73" s="1642"/>
      <c r="X73" s="1372"/>
      <c r="Y73" s="1372"/>
      <c r="Z73" s="550"/>
      <c r="AA73" s="1372"/>
      <c r="AB73" s="1372"/>
      <c r="AC73" s="1372"/>
      <c r="AD73" s="1372"/>
      <c r="AE73" s="1372"/>
      <c r="AF73" s="1638"/>
      <c r="AG73" s="628"/>
      <c r="AH73" s="628"/>
      <c r="AI73" s="628"/>
      <c r="AJ73" s="628"/>
      <c r="AK73" s="1647">
        <v>11</v>
      </c>
    </row>
    <row s="1647" customFormat="1" customHeight="1" ht="11.549999999999999">
      <c r="A74" s="993"/>
      <c r="B74" s="993"/>
      <c r="C74" s="993"/>
      <c r="D74" s="993"/>
      <c r="E74" s="993"/>
      <c r="F74" s="1642"/>
      <c r="G74" s="1642"/>
      <c r="H74" s="357"/>
      <c r="N74" s="1372"/>
      <c r="P74" s="1372"/>
      <c r="Q74" s="1642"/>
      <c r="R74" s="1642"/>
      <c r="S74" s="1372"/>
      <c r="T74" s="1372"/>
      <c r="U74" s="1372"/>
      <c r="V74" s="1372"/>
      <c r="W74" s="1642"/>
      <c r="X74" s="1372"/>
      <c r="Y74" s="1372"/>
      <c r="Z74" s="550"/>
      <c r="AA74" s="1372"/>
      <c r="AB74" s="1372"/>
      <c r="AC74" s="1372"/>
      <c r="AD74" s="1372"/>
      <c r="AE74" s="1372"/>
      <c r="AF74" s="1638"/>
      <c r="AG74" s="628"/>
      <c r="AH74" s="628"/>
      <c r="AI74" s="628"/>
      <c r="AJ74" s="628"/>
      <c r="AK74" s="1647">
        <v>11</v>
      </c>
    </row>
    <row s="1647" customFormat="1" customHeight="1" ht="11.549999999999999">
      <c r="A75" s="993"/>
      <c r="B75" s="993"/>
      <c r="C75" s="993"/>
      <c r="D75" s="993"/>
      <c r="E75" s="993"/>
      <c r="F75" s="1642"/>
      <c r="G75" s="1642"/>
      <c r="H75" s="357"/>
      <c r="N75" s="1372"/>
      <c r="P75" s="1372"/>
      <c r="Q75" s="1642"/>
      <c r="R75" s="1642"/>
      <c r="S75" s="1372"/>
      <c r="T75" s="1372"/>
      <c r="U75" s="1372"/>
      <c r="V75" s="1372"/>
      <c r="W75" s="1642"/>
      <c r="X75" s="1372"/>
      <c r="Y75" s="1372"/>
      <c r="Z75" s="550"/>
      <c r="AA75" s="1372"/>
      <c r="AB75" s="1372"/>
      <c r="AC75" s="1372"/>
      <c r="AD75" s="1372"/>
      <c r="AE75" s="1372"/>
      <c r="AF75" s="1638"/>
      <c r="AG75" s="628"/>
      <c r="AH75" s="628"/>
      <c r="AI75" s="628"/>
      <c r="AJ75" s="628"/>
      <c r="AK75" s="1647">
        <v>11</v>
      </c>
    </row>
    <row s="1647" customFormat="1" customHeight="1" ht="11.549999999999999">
      <c r="A76" s="993"/>
      <c r="B76" s="993"/>
      <c r="C76" s="993"/>
      <c r="D76" s="993"/>
      <c r="E76" s="993"/>
      <c r="F76" s="1642"/>
      <c r="G76" s="1642"/>
      <c r="H76" s="357"/>
      <c r="N76" s="1372"/>
      <c r="P76" s="1372"/>
      <c r="Q76" s="1642"/>
      <c r="R76" s="1642"/>
      <c r="S76" s="1372"/>
      <c r="T76" s="1372"/>
      <c r="U76" s="1372"/>
      <c r="V76" s="1372"/>
      <c r="W76" s="1642"/>
      <c r="X76" s="1372"/>
      <c r="Y76" s="1372"/>
      <c r="Z76" s="550"/>
      <c r="AA76" s="1372"/>
      <c r="AB76" s="1372"/>
      <c r="AC76" s="1372"/>
      <c r="AD76" s="1372"/>
      <c r="AE76" s="1372"/>
      <c r="AF76" s="1638"/>
      <c r="AG76" s="628"/>
      <c r="AH76" s="628"/>
      <c r="AI76" s="628"/>
      <c r="AJ76" s="628"/>
      <c r="AK76" s="1647">
        <v>11</v>
      </c>
    </row>
    <row s="1647" customFormat="1" customHeight="1" ht="11.549999999999999">
      <c r="A77" s="993"/>
      <c r="B77" s="993"/>
      <c r="C77" s="993"/>
      <c r="D77" s="993"/>
      <c r="E77" s="993"/>
      <c r="F77" s="1642"/>
      <c r="G77" s="1642"/>
      <c r="H77" s="357"/>
      <c r="N77" s="1372"/>
      <c r="P77" s="1372"/>
      <c r="Q77" s="1642"/>
      <c r="R77" s="1642"/>
      <c r="S77" s="1372"/>
      <c r="T77" s="1372"/>
      <c r="U77" s="1372"/>
      <c r="V77" s="1372"/>
      <c r="W77" s="1642"/>
      <c r="X77" s="1372"/>
      <c r="Y77" s="1372"/>
      <c r="Z77" s="550"/>
      <c r="AA77" s="1372"/>
      <c r="AB77" s="1372"/>
      <c r="AC77" s="1372"/>
      <c r="AD77" s="1372"/>
      <c r="AE77" s="1372"/>
      <c r="AF77" s="1638"/>
      <c r="AG77" s="628"/>
      <c r="AH77" s="628"/>
      <c r="AI77" s="628"/>
      <c r="AJ77" s="628"/>
      <c r="AK77" s="1647">
        <v>11</v>
      </c>
    </row>
    <row s="1647" customFormat="1" customHeight="1" ht="11.549999999999999">
      <c r="A78" s="993"/>
      <c r="B78" s="993"/>
      <c r="C78" s="993"/>
      <c r="D78" s="993"/>
      <c r="E78" s="993"/>
      <c r="F78" s="1642"/>
      <c r="G78" s="1642"/>
      <c r="H78" s="357"/>
      <c r="N78" s="1372"/>
      <c r="P78" s="1372"/>
      <c r="Q78" s="1642"/>
      <c r="R78" s="1642"/>
      <c r="S78" s="1372"/>
      <c r="T78" s="1372"/>
      <c r="U78" s="1372"/>
      <c r="V78" s="1372"/>
      <c r="W78" s="1642"/>
      <c r="X78" s="1372"/>
      <c r="Y78" s="1372"/>
      <c r="Z78" s="550"/>
      <c r="AA78" s="1372"/>
      <c r="AB78" s="1372"/>
      <c r="AC78" s="1372"/>
      <c r="AD78" s="1372"/>
      <c r="AE78" s="1372"/>
      <c r="AF78" s="1638"/>
      <c r="AG78" s="628"/>
      <c r="AH78" s="628"/>
      <c r="AI78" s="628"/>
      <c r="AJ78" s="628"/>
      <c r="AK78" s="1647">
        <v>11</v>
      </c>
    </row>
    <row s="1647" customFormat="1" customHeight="1" ht="11.549999999999999">
      <c r="A79" s="993"/>
      <c r="B79" s="993"/>
      <c r="C79" s="993"/>
      <c r="D79" s="993"/>
      <c r="E79" s="993"/>
      <c r="F79" s="1642"/>
      <c r="G79" s="1642"/>
      <c r="H79" s="357"/>
      <c r="N79" s="1372"/>
      <c r="P79" s="1372"/>
      <c r="Q79" s="1642"/>
      <c r="R79" s="1642"/>
      <c r="S79" s="1372"/>
      <c r="T79" s="1372"/>
      <c r="U79" s="1372"/>
      <c r="V79" s="1372"/>
      <c r="W79" s="1642"/>
      <c r="X79" s="1372"/>
      <c r="Y79" s="1372"/>
      <c r="Z79" s="550"/>
      <c r="AA79" s="1372"/>
      <c r="AB79" s="1372"/>
      <c r="AC79" s="1372"/>
      <c r="AD79" s="1372"/>
      <c r="AE79" s="1372"/>
      <c r="AF79" s="1638"/>
      <c r="AG79" s="628"/>
      <c r="AH79" s="628"/>
      <c r="AI79" s="628"/>
      <c r="AJ79" s="628"/>
      <c r="AK79" s="1647">
        <v>11</v>
      </c>
    </row>
    <row s="1647" customFormat="1" customHeight="1" ht="11.549999999999999">
      <c r="A80" s="993"/>
      <c r="B80" s="993"/>
      <c r="C80" s="993"/>
      <c r="D80" s="993"/>
      <c r="E80" s="993"/>
      <c r="F80" s="1642"/>
      <c r="G80" s="1642"/>
      <c r="H80" s="357"/>
      <c r="N80" s="1372"/>
      <c r="P80" s="1372"/>
      <c r="Q80" s="1642"/>
      <c r="R80" s="1642"/>
      <c r="S80" s="1372"/>
      <c r="T80" s="1372"/>
      <c r="U80" s="1372"/>
      <c r="V80" s="1372"/>
      <c r="W80" s="1642"/>
      <c r="X80" s="1372"/>
      <c r="Y80" s="1372"/>
      <c r="Z80" s="550"/>
      <c r="AA80" s="1372"/>
      <c r="AB80" s="1372"/>
      <c r="AC80" s="1372"/>
      <c r="AD80" s="1372"/>
      <c r="AE80" s="1372"/>
      <c r="AF80" s="1638"/>
      <c r="AG80" s="628"/>
      <c r="AH80" s="628"/>
      <c r="AI80" s="628"/>
      <c r="AJ80" s="628"/>
      <c r="AK80" s="1647">
        <v>11</v>
      </c>
    </row>
    <row s="1647" customFormat="1" customHeight="1" ht="11.549999999999999">
      <c r="A81" s="993"/>
      <c r="B81" s="993"/>
      <c r="C81" s="993"/>
      <c r="D81" s="993"/>
      <c r="E81" s="993"/>
      <c r="F81" s="1642"/>
      <c r="G81" s="1642"/>
      <c r="H81" s="357"/>
      <c r="N81" s="1372"/>
      <c r="P81" s="1372"/>
      <c r="Q81" s="1642"/>
      <c r="R81" s="1642"/>
      <c r="S81" s="1372"/>
      <c r="T81" s="1372"/>
      <c r="U81" s="1372"/>
      <c r="V81" s="1372"/>
      <c r="W81" s="1642"/>
      <c r="X81" s="1372"/>
      <c r="Y81" s="1372"/>
      <c r="Z81" s="550"/>
      <c r="AA81" s="1372"/>
      <c r="AB81" s="1372"/>
      <c r="AC81" s="1372"/>
      <c r="AD81" s="1372"/>
      <c r="AE81" s="1372"/>
      <c r="AF81" s="1638"/>
      <c r="AG81" s="628"/>
      <c r="AH81" s="628"/>
      <c r="AI81" s="628"/>
      <c r="AJ81" s="628"/>
      <c r="AK81" s="1647">
        <v>11</v>
      </c>
    </row>
    <row s="1647" customFormat="1" customHeight="1" ht="11.549999999999999">
      <c r="A82" s="993"/>
      <c r="B82" s="993"/>
      <c r="C82" s="993"/>
      <c r="D82" s="993"/>
      <c r="E82" s="993"/>
      <c r="F82" s="1642"/>
      <c r="G82" s="1642"/>
      <c r="H82" s="357"/>
      <c r="N82" s="1372"/>
      <c r="P82" s="1372"/>
      <c r="Q82" s="1642"/>
      <c r="R82" s="1642"/>
      <c r="S82" s="1372"/>
      <c r="T82" s="1372"/>
      <c r="U82" s="1372"/>
      <c r="V82" s="1372"/>
      <c r="W82" s="1642"/>
      <c r="X82" s="1372"/>
      <c r="Y82" s="1372"/>
      <c r="Z82" s="550"/>
      <c r="AA82" s="1372"/>
      <c r="AB82" s="1372"/>
      <c r="AC82" s="1372"/>
      <c r="AD82" s="1372"/>
      <c r="AE82" s="1372"/>
      <c r="AF82" s="1638"/>
      <c r="AG82" s="628"/>
      <c r="AH82" s="628"/>
      <c r="AI82" s="628"/>
      <c r="AJ82" s="628"/>
      <c r="AK82" s="1647">
        <v>11</v>
      </c>
    </row>
    <row s="1647" customFormat="1" customHeight="1" ht="11.549999999999999">
      <c r="A83" s="993"/>
      <c r="B83" s="993"/>
      <c r="C83" s="993"/>
      <c r="D83" s="993"/>
      <c r="E83" s="993"/>
      <c r="F83" s="1642"/>
      <c r="G83" s="1642"/>
      <c r="H83" s="357"/>
      <c r="N83" s="1372"/>
      <c r="P83" s="1372"/>
      <c r="Q83" s="1642"/>
      <c r="R83" s="1642"/>
      <c r="S83" s="1372"/>
      <c r="T83" s="1372"/>
      <c r="U83" s="1372"/>
      <c r="V83" s="1372"/>
      <c r="W83" s="1642"/>
      <c r="X83" s="1372"/>
      <c r="Y83" s="1372"/>
      <c r="Z83" s="550"/>
      <c r="AA83" s="1372"/>
      <c r="AB83" s="1372"/>
      <c r="AC83" s="1372"/>
      <c r="AD83" s="1372"/>
      <c r="AE83" s="1372"/>
      <c r="AF83" s="1638"/>
      <c r="AG83" s="628"/>
      <c r="AH83" s="628"/>
      <c r="AI83" s="628"/>
      <c r="AJ83" s="628"/>
      <c r="AK83" s="1647">
        <v>11</v>
      </c>
    </row>
    <row s="1647" customFormat="1" customHeight="1" ht="11.549999999999999">
      <c r="A84" s="993"/>
      <c r="B84" s="993"/>
      <c r="C84" s="993"/>
      <c r="D84" s="993"/>
      <c r="E84" s="993"/>
      <c r="F84" s="1642"/>
      <c r="G84" s="1642"/>
      <c r="H84" s="357"/>
      <c r="N84" s="1372"/>
      <c r="P84" s="1372"/>
      <c r="Q84" s="1642"/>
      <c r="R84" s="1642"/>
      <c r="S84" s="1372"/>
      <c r="T84" s="1372"/>
      <c r="U84" s="1372"/>
      <c r="V84" s="1372"/>
      <c r="W84" s="1642"/>
      <c r="X84" s="1372"/>
      <c r="Y84" s="1372"/>
      <c r="Z84" s="550"/>
      <c r="AA84" s="1372"/>
      <c r="AB84" s="1372"/>
      <c r="AC84" s="1372"/>
      <c r="AD84" s="1372"/>
      <c r="AE84" s="1372"/>
      <c r="AF84" s="1638"/>
      <c r="AG84" s="628"/>
      <c r="AH84" s="628"/>
      <c r="AI84" s="628"/>
      <c r="AJ84" s="628"/>
      <c r="AK84" s="1647">
        <v>11</v>
      </c>
    </row>
    <row s="1647" customFormat="1" customHeight="1" ht="11.549999999999999">
      <c r="A85" s="993"/>
      <c r="B85" s="993"/>
      <c r="C85" s="993"/>
      <c r="D85" s="993"/>
      <c r="E85" s="993"/>
      <c r="F85" s="1642"/>
      <c r="G85" s="1642"/>
      <c r="H85" s="357"/>
      <c r="N85" s="1372"/>
      <c r="P85" s="1372"/>
      <c r="Q85" s="1642"/>
      <c r="R85" s="1642"/>
      <c r="S85" s="1372"/>
      <c r="T85" s="1372"/>
      <c r="U85" s="1372"/>
      <c r="V85" s="1372"/>
      <c r="W85" s="1642"/>
      <c r="X85" s="1372"/>
      <c r="Y85" s="1372"/>
      <c r="Z85" s="550"/>
      <c r="AA85" s="1372"/>
      <c r="AB85" s="1372"/>
      <c r="AC85" s="1372"/>
      <c r="AD85" s="1372"/>
      <c r="AE85" s="1372"/>
      <c r="AF85" s="1638"/>
      <c r="AG85" s="628"/>
      <c r="AH85" s="628"/>
      <c r="AI85" s="628"/>
      <c r="AJ85" s="628"/>
      <c r="AK85" s="1647">
        <v>11</v>
      </c>
    </row>
    <row s="1647" customFormat="1" customHeight="1" ht="11.549999999999999">
      <c r="A86" s="993"/>
      <c r="B86" s="993"/>
      <c r="C86" s="993"/>
      <c r="D86" s="993"/>
      <c r="E86" s="993"/>
      <c r="F86" s="1642"/>
      <c r="G86" s="1642"/>
      <c r="H86" s="357"/>
      <c r="N86" s="1372"/>
      <c r="P86" s="1372"/>
      <c r="Q86" s="1642"/>
      <c r="R86" s="1642"/>
      <c r="S86" s="1372"/>
      <c r="T86" s="1372"/>
      <c r="U86" s="1372"/>
      <c r="V86" s="1372"/>
      <c r="W86" s="1642"/>
      <c r="X86" s="1372"/>
      <c r="Y86" s="1372"/>
      <c r="Z86" s="550"/>
      <c r="AA86" s="1372"/>
      <c r="AB86" s="1372"/>
      <c r="AC86" s="1372"/>
      <c r="AD86" s="1372"/>
      <c r="AE86" s="1372"/>
      <c r="AF86" s="1638"/>
      <c r="AG86" s="628"/>
      <c r="AH86" s="628"/>
      <c r="AI86" s="628"/>
      <c r="AJ86" s="628"/>
      <c r="AK86" s="1647">
        <v>11</v>
      </c>
    </row>
    <row s="1647" customFormat="1" customHeight="1" ht="11.549999999999999">
      <c r="A87" s="993"/>
      <c r="B87" s="993"/>
      <c r="C87" s="993"/>
      <c r="D87" s="993"/>
      <c r="E87" s="993"/>
      <c r="F87" s="1642"/>
      <c r="G87" s="1642"/>
      <c r="H87" s="357"/>
      <c r="N87" s="1372"/>
      <c r="P87" s="1372"/>
      <c r="Q87" s="1642"/>
      <c r="R87" s="1642"/>
      <c r="S87" s="1372"/>
      <c r="T87" s="1372"/>
      <c r="U87" s="1372"/>
      <c r="V87" s="1372"/>
      <c r="W87" s="1642"/>
      <c r="X87" s="1372"/>
      <c r="Y87" s="1372"/>
      <c r="Z87" s="550"/>
      <c r="AA87" s="1372"/>
      <c r="AB87" s="1372"/>
      <c r="AC87" s="1372"/>
      <c r="AD87" s="1372"/>
      <c r="AE87" s="1372"/>
      <c r="AF87" s="1638"/>
      <c r="AG87" s="628"/>
      <c r="AH87" s="628"/>
      <c r="AI87" s="628"/>
      <c r="AJ87" s="628"/>
      <c r="AK87" s="1647">
        <v>11</v>
      </c>
    </row>
    <row s="1647" customFormat="1" customHeight="1" ht="11.549999999999999">
      <c r="A88" s="993"/>
      <c r="B88" s="993"/>
      <c r="C88" s="993"/>
      <c r="D88" s="993"/>
      <c r="E88" s="993"/>
      <c r="F88" s="1642"/>
      <c r="G88" s="1642"/>
      <c r="H88" s="357"/>
      <c r="N88" s="1372"/>
      <c r="P88" s="1372"/>
      <c r="Q88" s="1642"/>
      <c r="R88" s="1642"/>
      <c r="S88" s="1372"/>
      <c r="T88" s="1372"/>
      <c r="U88" s="1372"/>
      <c r="V88" s="1372"/>
      <c r="W88" s="1642"/>
      <c r="X88" s="1372"/>
      <c r="Y88" s="1372"/>
      <c r="Z88" s="550"/>
      <c r="AA88" s="1372"/>
      <c r="AB88" s="1372"/>
      <c r="AC88" s="1372"/>
      <c r="AD88" s="1372"/>
      <c r="AE88" s="1372"/>
      <c r="AF88" s="1638"/>
      <c r="AG88" s="628"/>
      <c r="AH88" s="628"/>
      <c r="AI88" s="628"/>
      <c r="AJ88" s="628"/>
      <c r="AK88" s="1647">
        <v>11</v>
      </c>
    </row>
    <row s="1647" customFormat="1" customHeight="1" ht="11.549999999999999">
      <c r="A89" s="993"/>
      <c r="B89" s="993"/>
      <c r="C89" s="993"/>
      <c r="D89" s="993"/>
      <c r="E89" s="993"/>
      <c r="F89" s="1642"/>
      <c r="G89" s="1642"/>
      <c r="H89" s="357"/>
      <c r="N89" s="1372"/>
      <c r="P89" s="1372"/>
      <c r="Q89" s="1642"/>
      <c r="R89" s="1642"/>
      <c r="S89" s="1372"/>
      <c r="T89" s="1372"/>
      <c r="U89" s="1372"/>
      <c r="V89" s="1372"/>
      <c r="W89" s="1642"/>
      <c r="X89" s="1372"/>
      <c r="Y89" s="1372"/>
      <c r="Z89" s="550"/>
      <c r="AA89" s="1372"/>
      <c r="AB89" s="1372"/>
      <c r="AC89" s="1372"/>
      <c r="AD89" s="1372"/>
      <c r="AE89" s="1372"/>
      <c r="AF89" s="1638"/>
      <c r="AG89" s="628"/>
      <c r="AH89" s="628"/>
      <c r="AI89" s="628"/>
      <c r="AJ89" s="628"/>
      <c r="AK89" s="1647">
        <v>11</v>
      </c>
    </row>
    <row s="1647" customFormat="1" customHeight="1" ht="11.549999999999999">
      <c r="A90" s="993"/>
      <c r="B90" s="993"/>
      <c r="C90" s="993"/>
      <c r="D90" s="993"/>
      <c r="E90" s="993"/>
      <c r="F90" s="1642"/>
      <c r="G90" s="1642"/>
      <c r="H90" s="357"/>
      <c r="N90" s="1372"/>
      <c r="P90" s="1372"/>
      <c r="Q90" s="1642"/>
      <c r="R90" s="1642"/>
      <c r="S90" s="1372"/>
      <c r="T90" s="1372"/>
      <c r="U90" s="1372"/>
      <c r="V90" s="1372"/>
      <c r="W90" s="1642"/>
      <c r="X90" s="1372"/>
      <c r="Y90" s="1372"/>
      <c r="Z90" s="550"/>
      <c r="AA90" s="1372"/>
      <c r="AB90" s="1372"/>
      <c r="AC90" s="1372"/>
      <c r="AD90" s="1372"/>
      <c r="AE90" s="1372"/>
      <c r="AF90" s="1638"/>
      <c r="AG90" s="628"/>
      <c r="AH90" s="628"/>
      <c r="AI90" s="628"/>
      <c r="AJ90" s="628"/>
      <c r="AK90" s="1647">
        <v>11</v>
      </c>
    </row>
    <row s="1647" customFormat="1" customHeight="1" ht="11.549999999999999">
      <c r="A91" s="993"/>
      <c r="B91" s="993"/>
      <c r="C91" s="993"/>
      <c r="D91" s="993"/>
      <c r="E91" s="993"/>
      <c r="F91" s="1642"/>
      <c r="G91" s="1642"/>
      <c r="H91" s="357"/>
      <c r="N91" s="1372"/>
      <c r="P91" s="1372"/>
      <c r="Q91" s="1642"/>
      <c r="R91" s="1642"/>
      <c r="S91" s="1372"/>
      <c r="T91" s="1372"/>
      <c r="U91" s="1372"/>
      <c r="V91" s="1372"/>
      <c r="W91" s="1642"/>
      <c r="X91" s="1372"/>
      <c r="Y91" s="1372"/>
      <c r="Z91" s="550"/>
      <c r="AA91" s="1372"/>
      <c r="AB91" s="1372"/>
      <c r="AC91" s="1372"/>
      <c r="AD91" s="1372"/>
      <c r="AE91" s="1372"/>
      <c r="AF91" s="1638"/>
      <c r="AG91" s="628"/>
      <c r="AH91" s="628"/>
      <c r="AI91" s="628"/>
      <c r="AJ91" s="628"/>
      <c r="AK91" s="1647">
        <v>11</v>
      </c>
    </row>
    <row s="1647" customFormat="1" customHeight="1" ht="11.549999999999999">
      <c r="A92" s="993"/>
      <c r="B92" s="993"/>
      <c r="C92" s="993"/>
      <c r="D92" s="993"/>
      <c r="E92" s="993"/>
      <c r="F92" s="1642"/>
      <c r="G92" s="1642"/>
      <c r="H92" s="357"/>
      <c r="N92" s="1372"/>
      <c r="P92" s="1372"/>
      <c r="Q92" s="1642"/>
      <c r="R92" s="1642"/>
      <c r="S92" s="1372"/>
      <c r="T92" s="1372"/>
      <c r="U92" s="1372"/>
      <c r="V92" s="1372"/>
      <c r="W92" s="1642"/>
      <c r="X92" s="1372"/>
      <c r="Y92" s="1372"/>
      <c r="Z92" s="550"/>
      <c r="AA92" s="1372"/>
      <c r="AB92" s="1372"/>
      <c r="AC92" s="1372"/>
      <c r="AD92" s="1372"/>
      <c r="AE92" s="1372"/>
      <c r="AF92" s="1638"/>
      <c r="AG92" s="628"/>
      <c r="AH92" s="628"/>
      <c r="AI92" s="628"/>
      <c r="AJ92" s="628"/>
      <c r="AK92" s="1647">
        <v>11</v>
      </c>
    </row>
    <row s="1647" customFormat="1" customHeight="1" ht="11.549999999999999">
      <c r="A93" s="993"/>
      <c r="B93" s="993"/>
      <c r="C93" s="993"/>
      <c r="D93" s="993"/>
      <c r="E93" s="993"/>
      <c r="F93" s="1642"/>
      <c r="G93" s="1642"/>
      <c r="H93" s="357"/>
      <c r="N93" s="1372"/>
      <c r="P93" s="1372"/>
      <c r="Q93" s="1642"/>
      <c r="R93" s="1642"/>
      <c r="S93" s="1372"/>
      <c r="T93" s="1372"/>
      <c r="U93" s="1372"/>
      <c r="V93" s="1372"/>
      <c r="W93" s="1642"/>
      <c r="X93" s="1372"/>
      <c r="Y93" s="1372"/>
      <c r="Z93" s="550"/>
      <c r="AA93" s="1372"/>
      <c r="AB93" s="1372"/>
      <c r="AC93" s="1372"/>
      <c r="AD93" s="1372"/>
      <c r="AE93" s="1372"/>
      <c r="AF93" s="1638"/>
      <c r="AG93" s="628"/>
      <c r="AH93" s="628"/>
      <c r="AI93" s="628"/>
      <c r="AJ93" s="628"/>
      <c r="AK93" s="1647">
        <v>11</v>
      </c>
    </row>
    <row s="1647" customFormat="1" customHeight="1" ht="11.549999999999999">
      <c r="A94" s="993"/>
      <c r="B94" s="993"/>
      <c r="C94" s="993"/>
      <c r="D94" s="993"/>
      <c r="E94" s="993"/>
      <c r="F94" s="1642"/>
      <c r="G94" s="1642"/>
      <c r="H94" s="357"/>
      <c r="N94" s="1372"/>
      <c r="P94" s="1372"/>
      <c r="Q94" s="1642"/>
      <c r="R94" s="1642"/>
      <c r="S94" s="1372"/>
      <c r="T94" s="1372"/>
      <c r="U94" s="1372"/>
      <c r="V94" s="1372"/>
      <c r="W94" s="1642"/>
      <c r="X94" s="1372"/>
      <c r="Y94" s="1372"/>
      <c r="Z94" s="550"/>
      <c r="AA94" s="1372"/>
      <c r="AB94" s="1372"/>
      <c r="AC94" s="1372"/>
      <c r="AD94" s="1372"/>
      <c r="AE94" s="1372"/>
      <c r="AF94" s="1638"/>
      <c r="AG94" s="628"/>
      <c r="AH94" s="628"/>
      <c r="AI94" s="628"/>
      <c r="AJ94" s="628"/>
      <c r="AK94" s="1647">
        <v>11</v>
      </c>
    </row>
    <row s="1647" customFormat="1" customHeight="1" ht="11.549999999999999">
      <c r="A95" s="993"/>
      <c r="B95" s="993"/>
      <c r="C95" s="993"/>
      <c r="D95" s="993"/>
      <c r="E95" s="993"/>
      <c r="F95" s="1642"/>
      <c r="G95" s="1642"/>
      <c r="H95" s="357"/>
      <c r="N95" s="1372"/>
      <c r="P95" s="1372"/>
      <c r="Q95" s="1642"/>
      <c r="R95" s="1642"/>
      <c r="S95" s="1372"/>
      <c r="T95" s="1372"/>
      <c r="U95" s="1372"/>
      <c r="V95" s="1372"/>
      <c r="W95" s="1642"/>
      <c r="X95" s="1372"/>
      <c r="Y95" s="1372"/>
      <c r="Z95" s="550"/>
      <c r="AA95" s="1372"/>
      <c r="AB95" s="1372"/>
      <c r="AC95" s="1372"/>
      <c r="AD95" s="1372"/>
      <c r="AE95" s="1372"/>
      <c r="AF95" s="1638"/>
      <c r="AG95" s="628"/>
      <c r="AH95" s="628"/>
      <c r="AI95" s="628"/>
      <c r="AJ95" s="628"/>
      <c r="AK95" s="1647">
        <v>11</v>
      </c>
    </row>
    <row s="1647" customFormat="1" customHeight="1" ht="11.549999999999999">
      <c r="A96" s="993"/>
      <c r="B96" s="993"/>
      <c r="C96" s="993"/>
      <c r="D96" s="993"/>
      <c r="E96" s="993"/>
      <c r="F96" s="1642"/>
      <c r="G96" s="1642"/>
      <c r="H96" s="357"/>
      <c r="N96" s="1372"/>
      <c r="P96" s="1372"/>
      <c r="Q96" s="1642"/>
      <c r="R96" s="1642"/>
      <c r="S96" s="1372"/>
      <c r="T96" s="1372"/>
      <c r="U96" s="1372"/>
      <c r="V96" s="1372"/>
      <c r="W96" s="1642"/>
      <c r="X96" s="1372"/>
      <c r="Y96" s="1372"/>
      <c r="Z96" s="550"/>
      <c r="AA96" s="1372"/>
      <c r="AB96" s="1372"/>
      <c r="AC96" s="1372"/>
      <c r="AD96" s="1372"/>
      <c r="AE96" s="1372"/>
      <c r="AF96" s="1638"/>
      <c r="AG96" s="628"/>
      <c r="AH96" s="628"/>
      <c r="AI96" s="628"/>
      <c r="AJ96" s="628"/>
      <c r="AK96" s="1647">
        <v>11</v>
      </c>
    </row>
    <row s="1647" customFormat="1" customHeight="1" ht="11.549999999999999">
      <c r="A97" s="993"/>
      <c r="B97" s="993"/>
      <c r="C97" s="993"/>
      <c r="D97" s="993"/>
      <c r="E97" s="993"/>
      <c r="F97" s="1642"/>
      <c r="G97" s="1642"/>
      <c r="H97" s="357"/>
      <c r="N97" s="1372"/>
      <c r="P97" s="1372"/>
      <c r="Q97" s="1642"/>
      <c r="R97" s="1642"/>
      <c r="S97" s="1372"/>
      <c r="T97" s="1372"/>
      <c r="U97" s="1372"/>
      <c r="V97" s="1372"/>
      <c r="W97" s="1642"/>
      <c r="X97" s="1372"/>
      <c r="Y97" s="1372"/>
      <c r="Z97" s="550"/>
      <c r="AA97" s="1372"/>
      <c r="AB97" s="1372"/>
      <c r="AC97" s="1372"/>
      <c r="AD97" s="1372"/>
      <c r="AE97" s="1372"/>
      <c r="AF97" s="1638"/>
      <c r="AG97" s="628"/>
      <c r="AH97" s="628"/>
      <c r="AI97" s="628"/>
      <c r="AJ97" s="628"/>
      <c r="AK97" s="1647">
        <v>11</v>
      </c>
    </row>
    <row s="1647" customFormat="1" customHeight="1" ht="11.549999999999999">
      <c r="A98" s="993"/>
      <c r="B98" s="993"/>
      <c r="C98" s="993"/>
      <c r="D98" s="993"/>
      <c r="E98" s="993"/>
      <c r="F98" s="1642"/>
      <c r="G98" s="1642"/>
      <c r="H98" s="357"/>
      <c r="N98" s="1372"/>
      <c r="P98" s="1372"/>
      <c r="Q98" s="1642"/>
      <c r="R98" s="1642"/>
      <c r="S98" s="1372"/>
      <c r="T98" s="1372"/>
      <c r="U98" s="1372"/>
      <c r="V98" s="1372"/>
      <c r="W98" s="1642"/>
      <c r="X98" s="1372"/>
      <c r="Y98" s="1372"/>
      <c r="Z98" s="550"/>
      <c r="AA98" s="1372"/>
      <c r="AB98" s="1372"/>
      <c r="AC98" s="1372"/>
      <c r="AD98" s="1372"/>
      <c r="AE98" s="1372"/>
      <c r="AF98" s="1638"/>
      <c r="AG98" s="628"/>
      <c r="AH98" s="628"/>
      <c r="AI98" s="628"/>
      <c r="AJ98" s="628"/>
      <c r="AK98" s="1647">
        <v>11</v>
      </c>
    </row>
    <row s="1647" customFormat="1" customHeight="1" ht="11.549999999999999">
      <c r="A99" s="993"/>
      <c r="B99" s="993"/>
      <c r="C99" s="993"/>
      <c r="D99" s="993"/>
      <c r="E99" s="993"/>
      <c r="F99" s="1642"/>
      <c r="G99" s="1642"/>
      <c r="H99" s="357"/>
      <c r="N99" s="1372"/>
      <c r="P99" s="1372"/>
      <c r="Q99" s="1642"/>
      <c r="R99" s="1642"/>
      <c r="S99" s="1372"/>
      <c r="T99" s="1372"/>
      <c r="U99" s="1372"/>
      <c r="V99" s="1372"/>
      <c r="W99" s="1642"/>
      <c r="X99" s="1372"/>
      <c r="Y99" s="1372"/>
      <c r="Z99" s="550"/>
      <c r="AA99" s="1372"/>
      <c r="AB99" s="1372"/>
      <c r="AC99" s="1372"/>
      <c r="AD99" s="1372"/>
      <c r="AE99" s="1372"/>
      <c r="AF99" s="1638"/>
      <c r="AG99" s="628"/>
      <c r="AH99" s="628"/>
      <c r="AI99" s="628"/>
      <c r="AJ99" s="628"/>
      <c r="AK99" s="1647">
        <v>11</v>
      </c>
    </row>
    <row s="1647" customFormat="1" customHeight="1" ht="11.549999999999999">
      <c r="A100" s="993"/>
      <c r="B100" s="993"/>
      <c r="C100" s="993"/>
      <c r="D100" s="993"/>
      <c r="E100" s="993"/>
      <c r="F100" s="1642"/>
      <c r="G100" s="1642"/>
      <c r="H100" s="357"/>
      <c r="N100" s="1372"/>
      <c r="P100" s="1372"/>
      <c r="Q100" s="1642"/>
      <c r="R100" s="1642"/>
      <c r="S100" s="1372"/>
      <c r="T100" s="1372"/>
      <c r="U100" s="1372"/>
      <c r="V100" s="1372"/>
      <c r="W100" s="1642"/>
      <c r="X100" s="1372"/>
      <c r="Y100" s="1372"/>
      <c r="Z100" s="550"/>
      <c r="AA100" s="1372"/>
      <c r="AB100" s="1372"/>
      <c r="AC100" s="1372"/>
      <c r="AD100" s="1372"/>
      <c r="AE100" s="1372"/>
      <c r="AF100" s="1638"/>
      <c r="AG100" s="628"/>
      <c r="AH100" s="628"/>
      <c r="AI100" s="628"/>
      <c r="AJ100" s="628"/>
      <c r="AK100" s="1647">
        <v>11</v>
      </c>
    </row>
    <row s="1647" customFormat="1" customHeight="1" ht="11.549999999999999">
      <c r="A101" s="993"/>
      <c r="B101" s="993"/>
      <c r="C101" s="993"/>
      <c r="D101" s="993"/>
      <c r="E101" s="993"/>
      <c r="F101" s="1642"/>
      <c r="G101" s="1642"/>
      <c r="H101" s="357"/>
      <c r="N101" s="1372"/>
      <c r="P101" s="1372"/>
      <c r="Q101" s="1642"/>
      <c r="R101" s="1642"/>
      <c r="S101" s="1372"/>
      <c r="T101" s="1372"/>
      <c r="U101" s="1372"/>
      <c r="V101" s="1372"/>
      <c r="W101" s="1642"/>
      <c r="X101" s="1372"/>
      <c r="Y101" s="1372"/>
      <c r="Z101" s="550"/>
      <c r="AA101" s="1372"/>
      <c r="AB101" s="1372"/>
      <c r="AC101" s="1372"/>
      <c r="AD101" s="1372"/>
      <c r="AE101" s="1372"/>
      <c r="AF101" s="1638"/>
      <c r="AG101" s="628"/>
      <c r="AH101" s="628"/>
      <c r="AI101" s="628"/>
      <c r="AJ101" s="628"/>
      <c r="AK101" s="1647">
        <v>11</v>
      </c>
    </row>
    <row s="1647" customFormat="1" customHeight="1" ht="11.549999999999999">
      <c r="A102" s="993"/>
      <c r="B102" s="993"/>
      <c r="C102" s="993"/>
      <c r="D102" s="993"/>
      <c r="E102" s="993"/>
      <c r="F102" s="1642"/>
      <c r="G102" s="1642"/>
      <c r="H102" s="357"/>
      <c r="N102" s="1372"/>
      <c r="P102" s="1372"/>
      <c r="Q102" s="1642"/>
      <c r="R102" s="1642"/>
      <c r="S102" s="1372"/>
      <c r="T102" s="1372"/>
      <c r="U102" s="1372"/>
      <c r="V102" s="1372"/>
      <c r="W102" s="1642"/>
      <c r="X102" s="1372"/>
      <c r="Y102" s="1372"/>
      <c r="Z102" s="550"/>
      <c r="AA102" s="1372"/>
      <c r="AB102" s="1372"/>
      <c r="AC102" s="1372"/>
      <c r="AD102" s="1372"/>
      <c r="AE102" s="1372"/>
      <c r="AF102" s="1638"/>
      <c r="AG102" s="628"/>
      <c r="AH102" s="628"/>
      <c r="AI102" s="628"/>
      <c r="AJ102" s="628"/>
      <c r="AK102" s="1647">
        <v>11</v>
      </c>
    </row>
    <row s="1647" customFormat="1" customHeight="1" ht="11.549999999999999">
      <c r="A103" s="993"/>
      <c r="B103" s="993"/>
      <c r="C103" s="993"/>
      <c r="D103" s="993"/>
      <c r="E103" s="993"/>
      <c r="F103" s="1642"/>
      <c r="G103" s="1642"/>
      <c r="H103" s="357"/>
      <c r="N103" s="1372"/>
      <c r="P103" s="1372"/>
      <c r="Q103" s="1642"/>
      <c r="R103" s="1642"/>
      <c r="S103" s="1372"/>
      <c r="T103" s="1372"/>
      <c r="U103" s="1372"/>
      <c r="V103" s="1372"/>
      <c r="W103" s="1642"/>
      <c r="X103" s="1372"/>
      <c r="Y103" s="1372"/>
      <c r="Z103" s="550"/>
      <c r="AA103" s="1372"/>
      <c r="AB103" s="1372"/>
      <c r="AC103" s="1372"/>
      <c r="AD103" s="1372"/>
      <c r="AE103" s="1372"/>
      <c r="AF103" s="1638"/>
      <c r="AG103" s="628"/>
      <c r="AH103" s="628"/>
      <c r="AI103" s="628"/>
      <c r="AJ103" s="628"/>
      <c r="AK103" s="1647">
        <v>11</v>
      </c>
    </row>
    <row s="1647" customFormat="1" customHeight="1" ht="11.549999999999999">
      <c r="A104" s="993"/>
      <c r="B104" s="993"/>
      <c r="C104" s="993"/>
      <c r="D104" s="993"/>
      <c r="E104" s="993"/>
      <c r="F104" s="1642"/>
      <c r="G104" s="1642"/>
      <c r="H104" s="357"/>
      <c r="N104" s="1372"/>
      <c r="P104" s="1372"/>
      <c r="Q104" s="1642"/>
      <c r="R104" s="1642"/>
      <c r="S104" s="1372"/>
      <c r="T104" s="1372"/>
      <c r="U104" s="1372"/>
      <c r="V104" s="1372"/>
      <c r="W104" s="1642"/>
      <c r="X104" s="1372"/>
      <c r="Y104" s="1372"/>
      <c r="Z104" s="550"/>
      <c r="AA104" s="1372"/>
      <c r="AB104" s="1372"/>
      <c r="AC104" s="1372"/>
      <c r="AD104" s="1372"/>
      <c r="AE104" s="1372"/>
      <c r="AF104" s="1638"/>
      <c r="AG104" s="628"/>
      <c r="AH104" s="628"/>
      <c r="AI104" s="628"/>
      <c r="AJ104" s="628"/>
      <c r="AK104" s="1647">
        <v>11</v>
      </c>
    </row>
    <row s="1647" customFormat="1" customHeight="1" ht="11.549999999999999">
      <c r="A105" s="993"/>
      <c r="B105" s="993"/>
      <c r="C105" s="993"/>
      <c r="D105" s="993"/>
      <c r="E105" s="993"/>
      <c r="F105" s="1642"/>
      <c r="G105" s="1642"/>
      <c r="H105" s="357"/>
      <c r="N105" s="1372"/>
      <c r="P105" s="1372"/>
      <c r="Q105" s="1642"/>
      <c r="R105" s="1642"/>
      <c r="S105" s="1372"/>
      <c r="T105" s="1372"/>
      <c r="U105" s="1372"/>
      <c r="V105" s="1372"/>
      <c r="W105" s="1642"/>
      <c r="X105" s="1372"/>
      <c r="Y105" s="1372"/>
      <c r="Z105" s="550"/>
      <c r="AA105" s="1372"/>
      <c r="AB105" s="1372"/>
      <c r="AC105" s="1372"/>
      <c r="AD105" s="1372"/>
      <c r="AE105" s="1372"/>
      <c r="AF105" s="1638"/>
      <c r="AG105" s="628"/>
      <c r="AH105" s="628"/>
      <c r="AI105" s="628"/>
      <c r="AJ105" s="628"/>
      <c r="AK105" s="1647">
        <v>11</v>
      </c>
    </row>
    <row s="1647" customFormat="1" customHeight="1" ht="11.549999999999999">
      <c r="A106" s="993"/>
      <c r="B106" s="993"/>
      <c r="C106" s="993"/>
      <c r="D106" s="993"/>
      <c r="E106" s="993"/>
      <c r="F106" s="1642"/>
      <c r="G106" s="1642"/>
      <c r="H106" s="357"/>
      <c r="N106" s="1372"/>
      <c r="P106" s="1372"/>
      <c r="Q106" s="1642"/>
      <c r="R106" s="1642"/>
      <c r="S106" s="1372"/>
      <c r="T106" s="1372"/>
      <c r="U106" s="1372"/>
      <c r="V106" s="1372"/>
      <c r="W106" s="1642"/>
      <c r="X106" s="1372"/>
      <c r="Y106" s="1372"/>
      <c r="Z106" s="550"/>
      <c r="AA106" s="1372"/>
      <c r="AB106" s="1372"/>
      <c r="AC106" s="1372"/>
      <c r="AD106" s="1372"/>
      <c r="AE106" s="1372"/>
      <c r="AF106" s="1638"/>
      <c r="AG106" s="628"/>
      <c r="AH106" s="628"/>
      <c r="AI106" s="628"/>
      <c r="AJ106" s="628"/>
      <c r="AK106" s="1647">
        <v>11</v>
      </c>
    </row>
    <row s="1647" customFormat="1" customHeight="1" ht="11.549999999999999">
      <c r="A107" s="993"/>
      <c r="B107" s="993"/>
      <c r="C107" s="993"/>
      <c r="D107" s="993"/>
      <c r="E107" s="993"/>
      <c r="F107" s="1642"/>
      <c r="G107" s="1642"/>
      <c r="H107" s="357"/>
      <c r="N107" s="1372"/>
      <c r="P107" s="1372"/>
      <c r="Q107" s="1642"/>
      <c r="R107" s="1642"/>
      <c r="S107" s="1372"/>
      <c r="T107" s="1372"/>
      <c r="U107" s="1372"/>
      <c r="V107" s="1372"/>
      <c r="W107" s="1642"/>
      <c r="X107" s="1372"/>
      <c r="Y107" s="1372"/>
      <c r="Z107" s="550"/>
      <c r="AA107" s="1372"/>
      <c r="AB107" s="1372"/>
      <c r="AC107" s="1372"/>
      <c r="AD107" s="1372"/>
      <c r="AE107" s="1372"/>
      <c r="AF107" s="1638"/>
      <c r="AG107" s="628"/>
      <c r="AH107" s="628"/>
      <c r="AI107" s="628"/>
      <c r="AJ107" s="628"/>
      <c r="AK107" s="1647">
        <v>11</v>
      </c>
    </row>
    <row s="1647" customFormat="1" customHeight="1" ht="11.549999999999999">
      <c r="A108" s="993"/>
      <c r="B108" s="993"/>
      <c r="C108" s="993"/>
      <c r="D108" s="993"/>
      <c r="E108" s="993"/>
      <c r="F108" s="1642"/>
      <c r="G108" s="1642"/>
      <c r="H108" s="357"/>
      <c r="N108" s="1372"/>
      <c r="P108" s="1372"/>
      <c r="Q108" s="1642"/>
      <c r="R108" s="1642"/>
      <c r="S108" s="1372"/>
      <c r="T108" s="1372"/>
      <c r="U108" s="1372"/>
      <c r="V108" s="1372"/>
      <c r="W108" s="1642"/>
      <c r="X108" s="1372"/>
      <c r="Y108" s="1372"/>
      <c r="Z108" s="550"/>
      <c r="AA108" s="1372"/>
      <c r="AB108" s="1372"/>
      <c r="AC108" s="1372"/>
      <c r="AD108" s="1372"/>
      <c r="AE108" s="1372"/>
      <c r="AF108" s="1638"/>
      <c r="AG108" s="628"/>
      <c r="AH108" s="628"/>
      <c r="AI108" s="628"/>
      <c r="AJ108" s="628"/>
      <c r="AK108" s="1647">
        <v>11</v>
      </c>
    </row>
    <row s="1647" customFormat="1" customHeight="1" ht="11.549999999999999">
      <c r="A109" s="993"/>
      <c r="B109" s="993"/>
      <c r="C109" s="993"/>
      <c r="D109" s="993"/>
      <c r="E109" s="993"/>
      <c r="F109" s="1642"/>
      <c r="G109" s="1642"/>
      <c r="H109" s="357"/>
      <c r="N109" s="1372"/>
      <c r="P109" s="1372"/>
      <c r="Q109" s="1642"/>
      <c r="R109" s="1642"/>
      <c r="S109" s="1372"/>
      <c r="T109" s="1372"/>
      <c r="U109" s="1372"/>
      <c r="V109" s="1372"/>
      <c r="W109" s="1642"/>
      <c r="X109" s="1372"/>
      <c r="Y109" s="1372"/>
      <c r="Z109" s="550"/>
      <c r="AA109" s="1372"/>
      <c r="AB109" s="1372"/>
      <c r="AC109" s="1372"/>
      <c r="AD109" s="1372"/>
      <c r="AE109" s="1372"/>
      <c r="AF109" s="1638"/>
      <c r="AG109" s="628"/>
      <c r="AH109" s="628"/>
      <c r="AI109" s="628"/>
      <c r="AJ109" s="628"/>
      <c r="AK109" s="1647">
        <v>11</v>
      </c>
    </row>
    <row s="1647" customFormat="1" customHeight="1" ht="11.549999999999999">
      <c r="A110" s="993"/>
      <c r="B110" s="993"/>
      <c r="C110" s="993"/>
      <c r="D110" s="993"/>
      <c r="E110" s="993"/>
      <c r="F110" s="1642"/>
      <c r="G110" s="1642"/>
      <c r="H110" s="357"/>
      <c r="N110" s="1372"/>
      <c r="P110" s="1372"/>
      <c r="Q110" s="1642"/>
      <c r="R110" s="1642"/>
      <c r="S110" s="1372"/>
      <c r="T110" s="1372"/>
      <c r="U110" s="1372"/>
      <c r="V110" s="1372"/>
      <c r="W110" s="1642"/>
      <c r="X110" s="1372"/>
      <c r="Y110" s="1372"/>
      <c r="Z110" s="550"/>
      <c r="AA110" s="1372"/>
      <c r="AB110" s="1372"/>
      <c r="AC110" s="1372"/>
      <c r="AD110" s="1372"/>
      <c r="AE110" s="1372"/>
      <c r="AF110" s="1638"/>
      <c r="AG110" s="628"/>
      <c r="AH110" s="628"/>
      <c r="AI110" s="628"/>
      <c r="AJ110" s="628"/>
      <c r="AK110" s="1647">
        <v>11</v>
      </c>
    </row>
    <row s="1647" customFormat="1" customHeight="1" ht="11.549999999999999">
      <c r="A111" s="993"/>
      <c r="B111" s="993"/>
      <c r="C111" s="993"/>
      <c r="D111" s="993"/>
      <c r="E111" s="993"/>
      <c r="F111" s="1642"/>
      <c r="G111" s="1642"/>
      <c r="H111" s="357"/>
      <c r="N111" s="1372"/>
      <c r="P111" s="1372"/>
      <c r="Q111" s="1642"/>
      <c r="R111" s="1642"/>
      <c r="S111" s="1372"/>
      <c r="T111" s="1372"/>
      <c r="U111" s="1372"/>
      <c r="V111" s="1372"/>
      <c r="W111" s="1642"/>
      <c r="X111" s="1372"/>
      <c r="Y111" s="1372"/>
      <c r="Z111" s="550"/>
      <c r="AA111" s="1372"/>
      <c r="AB111" s="1372"/>
      <c r="AC111" s="1372"/>
      <c r="AD111" s="1372"/>
      <c r="AE111" s="1372"/>
      <c r="AF111" s="1638"/>
      <c r="AG111" s="628"/>
      <c r="AH111" s="628"/>
      <c r="AI111" s="628"/>
      <c r="AJ111" s="628"/>
      <c r="AK111" s="1647">
        <v>11</v>
      </c>
    </row>
    <row s="1647" customFormat="1" customHeight="1" ht="11.549999999999999">
      <c r="A112" s="993"/>
      <c r="B112" s="993"/>
      <c r="C112" s="993"/>
      <c r="D112" s="993"/>
      <c r="E112" s="993"/>
      <c r="F112" s="1642"/>
      <c r="G112" s="1642"/>
      <c r="H112" s="357"/>
      <c r="N112" s="1372"/>
      <c r="P112" s="1372"/>
      <c r="Q112" s="1642"/>
      <c r="R112" s="1642"/>
      <c r="S112" s="1372"/>
      <c r="T112" s="1372"/>
      <c r="U112" s="1372"/>
      <c r="V112" s="1372"/>
      <c r="W112" s="1642"/>
      <c r="X112" s="1372"/>
      <c r="Y112" s="1372"/>
      <c r="Z112" s="550"/>
      <c r="AA112" s="1372"/>
      <c r="AB112" s="1372"/>
      <c r="AC112" s="1372"/>
      <c r="AD112" s="1372"/>
      <c r="AE112" s="1372"/>
      <c r="AF112" s="1638"/>
      <c r="AG112" s="628"/>
      <c r="AH112" s="628"/>
      <c r="AI112" s="628"/>
      <c r="AJ112" s="628"/>
      <c r="AK112" s="1647">
        <v>11</v>
      </c>
    </row>
    <row s="1647" customFormat="1" customHeight="1" ht="11.549999999999999">
      <c r="A113" s="993"/>
      <c r="B113" s="993"/>
      <c r="C113" s="993"/>
      <c r="D113" s="993"/>
      <c r="E113" s="993"/>
      <c r="F113" s="1642"/>
      <c r="G113" s="1642"/>
      <c r="H113" s="357"/>
      <c r="N113" s="1372"/>
      <c r="P113" s="1372"/>
      <c r="Q113" s="1642"/>
      <c r="R113" s="1642"/>
      <c r="S113" s="1372"/>
      <c r="T113" s="1372"/>
      <c r="U113" s="1372"/>
      <c r="V113" s="1372"/>
      <c r="W113" s="1642"/>
      <c r="X113" s="1372"/>
      <c r="Y113" s="1372"/>
      <c r="Z113" s="550"/>
      <c r="AA113" s="1372"/>
      <c r="AB113" s="1372"/>
      <c r="AC113" s="1372"/>
      <c r="AD113" s="1372"/>
      <c r="AE113" s="1372"/>
      <c r="AF113" s="1638"/>
      <c r="AG113" s="628"/>
      <c r="AH113" s="628"/>
      <c r="AI113" s="628"/>
      <c r="AJ113" s="628"/>
      <c r="AK113" s="1647">
        <v>11</v>
      </c>
    </row>
    <row s="1647" customFormat="1" customHeight="1" ht="11.549999999999999">
      <c r="A114" s="993"/>
      <c r="B114" s="993"/>
      <c r="C114" s="993"/>
      <c r="D114" s="993"/>
      <c r="E114" s="993"/>
      <c r="F114" s="1642"/>
      <c r="G114" s="1642"/>
      <c r="H114" s="357"/>
      <c r="N114" s="1372"/>
      <c r="P114" s="1372"/>
      <c r="Q114" s="1642"/>
      <c r="R114" s="1642"/>
      <c r="S114" s="1372"/>
      <c r="T114" s="1372"/>
      <c r="U114" s="1372"/>
      <c r="V114" s="1372"/>
      <c r="W114" s="1642"/>
      <c r="X114" s="1372"/>
      <c r="Y114" s="1372"/>
      <c r="Z114" s="550"/>
      <c r="AA114" s="1372"/>
      <c r="AB114" s="1372"/>
      <c r="AC114" s="1372"/>
      <c r="AD114" s="1372"/>
      <c r="AE114" s="1372"/>
      <c r="AF114" s="1638"/>
      <c r="AG114" s="628"/>
      <c r="AH114" s="628"/>
      <c r="AI114" s="628"/>
      <c r="AJ114" s="628"/>
      <c r="AK114" s="1647">
        <v>11</v>
      </c>
    </row>
    <row s="1647" customFormat="1" customHeight="1" ht="11.549999999999999">
      <c r="A115" s="993"/>
      <c r="B115" s="993"/>
      <c r="C115" s="993"/>
      <c r="D115" s="993"/>
      <c r="E115" s="993"/>
      <c r="F115" s="1642"/>
      <c r="G115" s="1642"/>
      <c r="H115" s="357"/>
      <c r="N115" s="1372"/>
      <c r="P115" s="1372"/>
      <c r="Q115" s="1642"/>
      <c r="R115" s="1642"/>
      <c r="S115" s="1372"/>
      <c r="T115" s="1372"/>
      <c r="U115" s="1372"/>
      <c r="V115" s="1372"/>
      <c r="W115" s="1642"/>
      <c r="X115" s="1372"/>
      <c r="Y115" s="1372"/>
      <c r="Z115" s="550"/>
      <c r="AA115" s="1372"/>
      <c r="AB115" s="1372"/>
      <c r="AC115" s="1372"/>
      <c r="AD115" s="1372"/>
      <c r="AE115" s="1372"/>
      <c r="AF115" s="1638"/>
      <c r="AG115" s="628"/>
      <c r="AH115" s="628"/>
      <c r="AI115" s="628"/>
      <c r="AJ115" s="628"/>
      <c r="AK115" s="1647">
        <v>11</v>
      </c>
    </row>
    <row s="1647" customFormat="1" customHeight="1" ht="11.549999999999999">
      <c r="A116" s="993"/>
      <c r="B116" s="993"/>
      <c r="C116" s="993"/>
      <c r="D116" s="993"/>
      <c r="E116" s="993"/>
      <c r="F116" s="1642"/>
      <c r="G116" s="1642"/>
      <c r="H116" s="357"/>
      <c r="N116" s="1372"/>
      <c r="P116" s="1372"/>
      <c r="Q116" s="1642"/>
      <c r="R116" s="1642"/>
      <c r="S116" s="1372"/>
      <c r="T116" s="1372"/>
      <c r="U116" s="1372"/>
      <c r="V116" s="1372"/>
      <c r="W116" s="1642"/>
      <c r="X116" s="1372"/>
      <c r="Y116" s="1372"/>
      <c r="Z116" s="550"/>
      <c r="AA116" s="1372"/>
      <c r="AB116" s="1372"/>
      <c r="AC116" s="1372"/>
      <c r="AD116" s="1372"/>
      <c r="AE116" s="1372"/>
      <c r="AF116" s="1638"/>
      <c r="AG116" s="628"/>
      <c r="AH116" s="628"/>
      <c r="AI116" s="628"/>
      <c r="AJ116" s="628"/>
      <c r="AK116" s="1647">
        <v>11</v>
      </c>
    </row>
    <row s="1647" customFormat="1" customHeight="1" ht="11.549999999999999">
      <c r="A117" s="993"/>
      <c r="B117" s="993"/>
      <c r="C117" s="993"/>
      <c r="D117" s="993"/>
      <c r="E117" s="993"/>
      <c r="F117" s="1642"/>
      <c r="G117" s="1642"/>
      <c r="H117" s="357"/>
      <c r="N117" s="1372"/>
      <c r="P117" s="1372"/>
      <c r="Q117" s="1642"/>
      <c r="R117" s="1642"/>
      <c r="S117" s="1372"/>
      <c r="T117" s="1372"/>
      <c r="U117" s="1372"/>
      <c r="V117" s="1372"/>
      <c r="W117" s="1642"/>
      <c r="X117" s="1372"/>
      <c r="Y117" s="1372"/>
      <c r="Z117" s="550"/>
      <c r="AA117" s="1372"/>
      <c r="AB117" s="1372"/>
      <c r="AC117" s="1372"/>
      <c r="AD117" s="1372"/>
      <c r="AE117" s="1372"/>
      <c r="AF117" s="1638"/>
      <c r="AG117" s="628"/>
      <c r="AH117" s="628"/>
      <c r="AI117" s="628"/>
      <c r="AJ117" s="628"/>
      <c r="AK117" s="1647">
        <v>11</v>
      </c>
    </row>
    <row s="1647" customFormat="1" customHeight="1" ht="11.549999999999999">
      <c r="A118" s="993"/>
      <c r="B118" s="993"/>
      <c r="C118" s="993"/>
      <c r="D118" s="993"/>
      <c r="E118" s="993"/>
      <c r="F118" s="1642"/>
      <c r="G118" s="1642"/>
      <c r="H118" s="357"/>
      <c r="N118" s="1372"/>
      <c r="P118" s="1372"/>
      <c r="Q118" s="1642"/>
      <c r="R118" s="1642"/>
      <c r="S118" s="1372"/>
      <c r="T118" s="1372"/>
      <c r="U118" s="1372"/>
      <c r="V118" s="1372"/>
      <c r="W118" s="1642"/>
      <c r="X118" s="1372"/>
      <c r="Y118" s="1372"/>
      <c r="Z118" s="550"/>
      <c r="AA118" s="1372"/>
      <c r="AB118" s="1372"/>
      <c r="AC118" s="1372"/>
      <c r="AD118" s="1372"/>
      <c r="AE118" s="1372"/>
      <c r="AF118" s="1638"/>
      <c r="AG118" s="628"/>
      <c r="AH118" s="628"/>
      <c r="AI118" s="628"/>
      <c r="AJ118" s="628"/>
      <c r="AK118" s="1647">
        <v>11</v>
      </c>
    </row>
    <row s="1647" customFormat="1" customHeight="1" ht="11.549999999999999">
      <c r="A119" s="993"/>
      <c r="B119" s="993"/>
      <c r="C119" s="993"/>
      <c r="D119" s="993"/>
      <c r="E119" s="993"/>
      <c r="F119" s="1642"/>
      <c r="G119" s="1642"/>
      <c r="H119" s="357"/>
      <c r="N119" s="1372"/>
      <c r="P119" s="1372"/>
      <c r="Q119" s="1642"/>
      <c r="R119" s="1642"/>
      <c r="S119" s="1372"/>
      <c r="T119" s="1372"/>
      <c r="U119" s="1372"/>
      <c r="V119" s="1372"/>
      <c r="W119" s="1642"/>
      <c r="X119" s="1372"/>
      <c r="Y119" s="1372"/>
      <c r="Z119" s="550"/>
      <c r="AA119" s="1372"/>
      <c r="AB119" s="1372"/>
      <c r="AC119" s="1372"/>
      <c r="AD119" s="1372"/>
      <c r="AE119" s="1372"/>
      <c r="AF119" s="1638"/>
      <c r="AG119" s="628"/>
      <c r="AH119" s="628"/>
      <c r="AI119" s="628"/>
      <c r="AJ119" s="628"/>
      <c r="AK119" s="1647">
        <v>11</v>
      </c>
    </row>
    <row s="1647" customFormat="1" customHeight="1" ht="11.549999999999999">
      <c r="A120" s="993"/>
      <c r="B120" s="993"/>
      <c r="C120" s="993"/>
      <c r="D120" s="993"/>
      <c r="E120" s="993"/>
      <c r="F120" s="1642"/>
      <c r="G120" s="1642"/>
      <c r="H120" s="357"/>
      <c r="N120" s="1372"/>
      <c r="P120" s="1372"/>
      <c r="Q120" s="1642"/>
      <c r="R120" s="1642"/>
      <c r="S120" s="1372"/>
      <c r="T120" s="1372"/>
      <c r="U120" s="1372"/>
      <c r="V120" s="1372"/>
      <c r="W120" s="1642"/>
      <c r="X120" s="1372"/>
      <c r="Y120" s="1372"/>
      <c r="Z120" s="550"/>
      <c r="AA120" s="1372"/>
      <c r="AB120" s="1372"/>
      <c r="AC120" s="1372"/>
      <c r="AD120" s="1372"/>
      <c r="AE120" s="1372"/>
      <c r="AF120" s="1638"/>
      <c r="AG120" s="628"/>
      <c r="AH120" s="628"/>
      <c r="AI120" s="628"/>
      <c r="AJ120" s="628"/>
      <c r="AK120" s="1647">
        <v>11</v>
      </c>
    </row>
    <row s="1647" customFormat="1" customHeight="1" ht="11.549999999999999">
      <c r="A121" s="993"/>
      <c r="B121" s="993"/>
      <c r="C121" s="993"/>
      <c r="D121" s="993"/>
      <c r="E121" s="993"/>
      <c r="F121" s="1642"/>
      <c r="G121" s="1642"/>
      <c r="H121" s="357"/>
      <c r="N121" s="1372"/>
      <c r="P121" s="1372"/>
      <c r="Q121" s="1642"/>
      <c r="R121" s="1642"/>
      <c r="S121" s="1372"/>
      <c r="T121" s="1372"/>
      <c r="U121" s="1372"/>
      <c r="V121" s="1372"/>
      <c r="W121" s="1642"/>
      <c r="X121" s="1372"/>
      <c r="Y121" s="1372"/>
      <c r="Z121" s="550"/>
      <c r="AA121" s="1372"/>
      <c r="AB121" s="1372"/>
      <c r="AC121" s="1372"/>
      <c r="AD121" s="1372"/>
      <c r="AE121" s="1372"/>
      <c r="AF121" s="1638"/>
      <c r="AG121" s="628"/>
      <c r="AH121" s="628"/>
      <c r="AI121" s="628"/>
      <c r="AJ121" s="628"/>
      <c r="AK121" s="1647">
        <v>11</v>
      </c>
    </row>
    <row s="1647" customFormat="1" customHeight="1" ht="11.549999999999999">
      <c r="A122" s="993"/>
      <c r="B122" s="993"/>
      <c r="C122" s="993"/>
      <c r="D122" s="993"/>
      <c r="E122" s="993"/>
      <c r="F122" s="1642"/>
      <c r="G122" s="1642"/>
      <c r="H122" s="357"/>
      <c r="N122" s="1372"/>
      <c r="P122" s="1372"/>
      <c r="Q122" s="1642"/>
      <c r="R122" s="1642"/>
      <c r="S122" s="1372"/>
      <c r="T122" s="1372"/>
      <c r="U122" s="1372"/>
      <c r="V122" s="1372"/>
      <c r="W122" s="1642"/>
      <c r="X122" s="1372"/>
      <c r="Y122" s="1372"/>
      <c r="Z122" s="550"/>
      <c r="AA122" s="1372"/>
      <c r="AB122" s="1372"/>
      <c r="AC122" s="1372"/>
      <c r="AD122" s="1372"/>
      <c r="AE122" s="1372"/>
      <c r="AF122" s="1638"/>
      <c r="AG122" s="628"/>
      <c r="AH122" s="628"/>
      <c r="AI122" s="628"/>
      <c r="AJ122" s="628"/>
      <c r="AK122" s="1647">
        <v>11</v>
      </c>
    </row>
    <row s="1647" customFormat="1" customHeight="1" ht="11.549999999999999">
      <c r="A123" s="993"/>
      <c r="B123" s="993"/>
      <c r="C123" s="993"/>
      <c r="D123" s="993"/>
      <c r="E123" s="993"/>
      <c r="F123" s="1642"/>
      <c r="G123" s="1642"/>
      <c r="H123" s="357"/>
      <c r="N123" s="1372"/>
      <c r="P123" s="1372"/>
      <c r="Q123" s="1642"/>
      <c r="R123" s="1642"/>
      <c r="S123" s="1372"/>
      <c r="T123" s="1372"/>
      <c r="U123" s="1372"/>
      <c r="V123" s="1372"/>
      <c r="W123" s="1642"/>
      <c r="X123" s="1372"/>
      <c r="Y123" s="1372"/>
      <c r="Z123" s="550"/>
      <c r="AA123" s="1372"/>
      <c r="AB123" s="1372"/>
      <c r="AC123" s="1372"/>
      <c r="AD123" s="1372"/>
      <c r="AE123" s="1372"/>
      <c r="AF123" s="1638"/>
      <c r="AG123" s="628"/>
      <c r="AH123" s="628"/>
      <c r="AI123" s="628"/>
      <c r="AJ123" s="628"/>
      <c r="AK123" s="1647">
        <v>11</v>
      </c>
    </row>
    <row s="1647" customFormat="1" customHeight="1" ht="11.549999999999999">
      <c r="A124" s="993"/>
      <c r="B124" s="993"/>
      <c r="C124" s="993"/>
      <c r="D124" s="993"/>
      <c r="E124" s="993"/>
      <c r="F124" s="1642"/>
      <c r="G124" s="1642"/>
      <c r="H124" s="357"/>
      <c r="N124" s="1372"/>
      <c r="P124" s="1372"/>
      <c r="Q124" s="1642"/>
      <c r="R124" s="1642"/>
      <c r="S124" s="1372"/>
      <c r="T124" s="1372"/>
      <c r="U124" s="1372"/>
      <c r="V124" s="1372"/>
      <c r="W124" s="1642"/>
      <c r="X124" s="1372"/>
      <c r="Y124" s="1372"/>
      <c r="Z124" s="550"/>
      <c r="AA124" s="1372"/>
      <c r="AB124" s="1372"/>
      <c r="AC124" s="1372"/>
      <c r="AD124" s="1372"/>
      <c r="AE124" s="1372"/>
      <c r="AF124" s="1638"/>
      <c r="AG124" s="628"/>
      <c r="AH124" s="628"/>
      <c r="AI124" s="628"/>
      <c r="AJ124" s="628"/>
      <c r="AK124" s="1647">
        <v>11</v>
      </c>
    </row>
    <row s="1647" customFormat="1" customHeight="1" ht="11.549999999999999">
      <c r="A125" s="993"/>
      <c r="B125" s="993"/>
      <c r="C125" s="993"/>
      <c r="D125" s="993"/>
      <c r="E125" s="993"/>
      <c r="F125" s="1642"/>
      <c r="G125" s="1642"/>
      <c r="H125" s="357"/>
      <c r="N125" s="1372"/>
      <c r="P125" s="1372"/>
      <c r="Q125" s="1642"/>
      <c r="R125" s="1642"/>
      <c r="S125" s="1372"/>
      <c r="T125" s="1372"/>
      <c r="U125" s="1372"/>
      <c r="V125" s="1372"/>
      <c r="W125" s="1642"/>
      <c r="X125" s="1372"/>
      <c r="Y125" s="1372"/>
      <c r="Z125" s="550"/>
      <c r="AA125" s="1372"/>
      <c r="AB125" s="1372"/>
      <c r="AC125" s="1372"/>
      <c r="AD125" s="1372"/>
      <c r="AE125" s="1372"/>
      <c r="AF125" s="1638"/>
      <c r="AG125" s="628"/>
      <c r="AH125" s="628"/>
      <c r="AI125" s="628"/>
      <c r="AJ125" s="628"/>
      <c r="AK125" s="1647">
        <v>11</v>
      </c>
    </row>
    <row s="1647" customFormat="1" customHeight="1" ht="11.549999999999999">
      <c r="A126" s="993"/>
      <c r="B126" s="993"/>
      <c r="C126" s="993"/>
      <c r="D126" s="993"/>
      <c r="E126" s="993"/>
      <c r="F126" s="1642"/>
      <c r="G126" s="1642"/>
      <c r="H126" s="357"/>
      <c r="N126" s="1372"/>
      <c r="P126" s="1372"/>
      <c r="Q126" s="1642"/>
      <c r="R126" s="1642"/>
      <c r="S126" s="1372"/>
      <c r="T126" s="1372"/>
      <c r="U126" s="1372"/>
      <c r="V126" s="1372"/>
      <c r="W126" s="1642"/>
      <c r="X126" s="1372"/>
      <c r="Y126" s="1372"/>
      <c r="Z126" s="550"/>
      <c r="AA126" s="1372"/>
      <c r="AB126" s="1372"/>
      <c r="AC126" s="1372"/>
      <c r="AD126" s="1372"/>
      <c r="AE126" s="1372"/>
      <c r="AF126" s="1638"/>
      <c r="AG126" s="628"/>
      <c r="AH126" s="628"/>
      <c r="AI126" s="628"/>
      <c r="AJ126" s="628"/>
      <c r="AK126" s="1647">
        <v>11</v>
      </c>
    </row>
    <row s="1647" customFormat="1" customHeight="1" ht="11.549999999999999">
      <c r="A127" s="993"/>
      <c r="B127" s="993"/>
      <c r="C127" s="993"/>
      <c r="D127" s="993"/>
      <c r="E127" s="993"/>
      <c r="F127" s="1642"/>
      <c r="G127" s="1642"/>
      <c r="H127" s="357"/>
      <c r="N127" s="1372"/>
      <c r="P127" s="1372"/>
      <c r="Q127" s="1642"/>
      <c r="R127" s="1642"/>
      <c r="S127" s="1372"/>
      <c r="T127" s="1372"/>
      <c r="U127" s="1372"/>
      <c r="V127" s="1372"/>
      <c r="W127" s="1642"/>
      <c r="X127" s="1372"/>
      <c r="Y127" s="1372"/>
      <c r="Z127" s="550"/>
      <c r="AA127" s="1372"/>
      <c r="AB127" s="1372"/>
      <c r="AC127" s="1372"/>
      <c r="AD127" s="1372"/>
      <c r="AE127" s="1372"/>
      <c r="AF127" s="1638"/>
      <c r="AG127" s="628"/>
      <c r="AH127" s="628"/>
      <c r="AI127" s="628"/>
      <c r="AJ127" s="628"/>
      <c r="AK127" s="1647">
        <v>11</v>
      </c>
    </row>
    <row s="1647" customFormat="1" customHeight="1" ht="11.549999999999999">
      <c r="A128" s="993"/>
      <c r="B128" s="993"/>
      <c r="C128" s="993"/>
      <c r="D128" s="993"/>
      <c r="E128" s="993"/>
      <c r="F128" s="1642"/>
      <c r="G128" s="1642"/>
      <c r="H128" s="357"/>
      <c r="N128" s="1372"/>
      <c r="P128" s="1372"/>
      <c r="Q128" s="1642"/>
      <c r="R128" s="1642"/>
      <c r="S128" s="1372"/>
      <c r="T128" s="1372"/>
      <c r="U128" s="1372"/>
      <c r="V128" s="1372"/>
      <c r="W128" s="1642"/>
      <c r="X128" s="1372"/>
      <c r="Y128" s="1372"/>
      <c r="Z128" s="550"/>
      <c r="AA128" s="1372"/>
      <c r="AB128" s="1372"/>
      <c r="AC128" s="1372"/>
      <c r="AD128" s="1372"/>
      <c r="AE128" s="1372"/>
      <c r="AF128" s="1638"/>
      <c r="AG128" s="628"/>
      <c r="AH128" s="628"/>
      <c r="AI128" s="628"/>
      <c r="AJ128" s="628"/>
      <c r="AK128" s="1647">
        <v>11</v>
      </c>
    </row>
    <row s="1647" customFormat="1" customHeight="1" ht="11.549999999999999">
      <c r="A129" s="993"/>
      <c r="B129" s="993"/>
      <c r="C129" s="993"/>
      <c r="D129" s="993"/>
      <c r="E129" s="993"/>
      <c r="F129" s="1642"/>
      <c r="G129" s="1642"/>
      <c r="H129" s="357"/>
      <c r="N129" s="1372"/>
      <c r="P129" s="1372"/>
      <c r="Q129" s="1642"/>
      <c r="R129" s="1642"/>
      <c r="S129" s="1372"/>
      <c r="T129" s="1372"/>
      <c r="U129" s="1372"/>
      <c r="V129" s="1372"/>
      <c r="W129" s="1642"/>
      <c r="X129" s="1372"/>
      <c r="Y129" s="1372"/>
      <c r="Z129" s="550"/>
      <c r="AA129" s="1372"/>
      <c r="AB129" s="1372"/>
      <c r="AC129" s="1372"/>
      <c r="AD129" s="1372"/>
      <c r="AE129" s="1372"/>
      <c r="AF129" s="1638"/>
      <c r="AG129" s="628"/>
      <c r="AH129" s="628"/>
      <c r="AI129" s="628"/>
      <c r="AJ129" s="628"/>
      <c r="AK129" s="1647">
        <v>11</v>
      </c>
    </row>
    <row s="1647" customFormat="1" customHeight="1" ht="11.549999999999999">
      <c r="A130" s="993"/>
      <c r="B130" s="993"/>
      <c r="C130" s="993"/>
      <c r="D130" s="993"/>
      <c r="E130" s="993"/>
      <c r="F130" s="1642"/>
      <c r="G130" s="1642"/>
      <c r="H130" s="357"/>
      <c r="N130" s="1372"/>
      <c r="P130" s="1372"/>
      <c r="Q130" s="1642"/>
      <c r="R130" s="1642"/>
      <c r="S130" s="1372"/>
      <c r="T130" s="1372"/>
      <c r="U130" s="1372"/>
      <c r="V130" s="1372"/>
      <c r="W130" s="1642"/>
      <c r="X130" s="1372"/>
      <c r="Y130" s="1372"/>
      <c r="Z130" s="550"/>
      <c r="AA130" s="1372"/>
      <c r="AB130" s="1372"/>
      <c r="AC130" s="1372"/>
      <c r="AD130" s="1372"/>
      <c r="AE130" s="1372"/>
      <c r="AF130" s="1638"/>
      <c r="AG130" s="628"/>
      <c r="AH130" s="628"/>
      <c r="AI130" s="628"/>
      <c r="AJ130" s="628"/>
      <c r="AK130" s="1647">
        <v>11</v>
      </c>
    </row>
    <row s="1647" customFormat="1" customHeight="1" ht="11.549999999999999">
      <c r="A131" s="993"/>
      <c r="B131" s="993"/>
      <c r="C131" s="993"/>
      <c r="D131" s="993"/>
      <c r="E131" s="993"/>
      <c r="F131" s="1642"/>
      <c r="G131" s="1642"/>
      <c r="H131" s="357"/>
      <c r="N131" s="1372"/>
      <c r="P131" s="1372"/>
      <c r="Q131" s="1642"/>
      <c r="R131" s="1642"/>
      <c r="S131" s="1372"/>
      <c r="T131" s="1372"/>
      <c r="U131" s="1372"/>
      <c r="V131" s="1372"/>
      <c r="W131" s="1642"/>
      <c r="X131" s="1372"/>
      <c r="Y131" s="1372"/>
      <c r="Z131" s="550"/>
      <c r="AA131" s="1372"/>
      <c r="AB131" s="1372"/>
      <c r="AC131" s="1372"/>
      <c r="AD131" s="1372"/>
      <c r="AE131" s="1372"/>
      <c r="AF131" s="1638"/>
      <c r="AG131" s="628"/>
      <c r="AH131" s="628"/>
      <c r="AI131" s="628"/>
      <c r="AJ131" s="628"/>
      <c r="AK131" s="1647">
        <v>11</v>
      </c>
    </row>
    <row s="1647" customFormat="1" customHeight="1" ht="11.549999999999999">
      <c r="A132" s="993"/>
      <c r="B132" s="993"/>
      <c r="C132" s="993"/>
      <c r="D132" s="993"/>
      <c r="E132" s="993"/>
      <c r="F132" s="1642"/>
      <c r="G132" s="1642"/>
      <c r="H132" s="357"/>
      <c r="N132" s="1372"/>
      <c r="P132" s="1372"/>
      <c r="Q132" s="1642"/>
      <c r="R132" s="1642"/>
      <c r="S132" s="1372"/>
      <c r="T132" s="1372"/>
      <c r="U132" s="1372"/>
      <c r="V132" s="1372"/>
      <c r="W132" s="1642"/>
      <c r="X132" s="1372"/>
      <c r="Y132" s="1372"/>
      <c r="Z132" s="550"/>
      <c r="AA132" s="1372"/>
      <c r="AB132" s="1372"/>
      <c r="AC132" s="1372"/>
      <c r="AD132" s="1372"/>
      <c r="AE132" s="1372"/>
      <c r="AF132" s="1638"/>
      <c r="AG132" s="628"/>
      <c r="AH132" s="628"/>
      <c r="AI132" s="628"/>
      <c r="AJ132" s="628"/>
      <c r="AK132" s="1647">
        <v>11</v>
      </c>
    </row>
    <row s="1647" customFormat="1" customHeight="1" ht="11.549999999999999">
      <c r="A133" s="993"/>
      <c r="B133" s="993"/>
      <c r="C133" s="993"/>
      <c r="D133" s="993"/>
      <c r="E133" s="993"/>
      <c r="F133" s="1642"/>
      <c r="G133" s="1642"/>
      <c r="H133" s="357"/>
      <c r="N133" s="1372"/>
      <c r="P133" s="1372"/>
      <c r="Q133" s="1642"/>
      <c r="R133" s="1642"/>
      <c r="S133" s="1372"/>
      <c r="T133" s="1372"/>
      <c r="U133" s="1372"/>
      <c r="V133" s="1372"/>
      <c r="W133" s="1642"/>
      <c r="X133" s="1372"/>
      <c r="Y133" s="1372"/>
      <c r="Z133" s="550"/>
      <c r="AA133" s="1372"/>
      <c r="AB133" s="1372"/>
      <c r="AC133" s="1372"/>
      <c r="AD133" s="1372"/>
      <c r="AE133" s="1372"/>
      <c r="AF133" s="1638"/>
      <c r="AG133" s="628"/>
      <c r="AH133" s="628"/>
      <c r="AI133" s="628"/>
      <c r="AJ133" s="628"/>
      <c r="AK133" s="1647">
        <v>11</v>
      </c>
    </row>
    <row s="1647" customFormat="1" customHeight="1" ht="11.549999999999999">
      <c r="A134" s="993"/>
      <c r="B134" s="993"/>
      <c r="C134" s="993"/>
      <c r="D134" s="993"/>
      <c r="E134" s="993"/>
      <c r="F134" s="1642"/>
      <c r="G134" s="1642"/>
      <c r="H134" s="357"/>
      <c r="N134" s="1372"/>
      <c r="P134" s="1372"/>
      <c r="Q134" s="1642"/>
      <c r="R134" s="1642"/>
      <c r="S134" s="1372"/>
      <c r="T134" s="1372"/>
      <c r="U134" s="1372"/>
      <c r="V134" s="1372"/>
      <c r="W134" s="1642"/>
      <c r="X134" s="1372"/>
      <c r="Y134" s="1372"/>
      <c r="Z134" s="550"/>
      <c r="AA134" s="1372"/>
      <c r="AB134" s="1372"/>
      <c r="AC134" s="1372"/>
      <c r="AD134" s="1372"/>
      <c r="AE134" s="1372"/>
      <c r="AF134" s="1638"/>
      <c r="AG134" s="628"/>
      <c r="AH134" s="628"/>
      <c r="AI134" s="628"/>
      <c r="AJ134" s="628"/>
      <c r="AK134" s="1647">
        <v>11</v>
      </c>
    </row>
    <row s="1647" customFormat="1" customHeight="1" ht="11.549999999999999">
      <c r="A135" s="993"/>
      <c r="B135" s="993"/>
      <c r="C135" s="993"/>
      <c r="D135" s="993"/>
      <c r="E135" s="993"/>
      <c r="F135" s="1642"/>
      <c r="G135" s="1642"/>
      <c r="H135" s="357"/>
      <c r="N135" s="1372"/>
      <c r="P135" s="1372"/>
      <c r="Q135" s="1642"/>
      <c r="R135" s="1642"/>
      <c r="S135" s="1372"/>
      <c r="T135" s="1372"/>
      <c r="U135" s="1372"/>
      <c r="V135" s="1372"/>
      <c r="W135" s="1642"/>
      <c r="X135" s="1372"/>
      <c r="Y135" s="1372"/>
      <c r="Z135" s="550"/>
      <c r="AA135" s="1372"/>
      <c r="AB135" s="1372"/>
      <c r="AC135" s="1372"/>
      <c r="AD135" s="1372"/>
      <c r="AE135" s="1372"/>
      <c r="AF135" s="1638"/>
      <c r="AG135" s="628"/>
      <c r="AH135" s="628"/>
      <c r="AI135" s="628"/>
      <c r="AJ135" s="628"/>
      <c r="AK135" s="1647">
        <v>11</v>
      </c>
    </row>
    <row s="1647" customFormat="1" customHeight="1" ht="11.549999999999999">
      <c r="A136" s="993"/>
      <c r="B136" s="993"/>
      <c r="C136" s="993"/>
      <c r="D136" s="993"/>
      <c r="E136" s="993"/>
      <c r="F136" s="1642"/>
      <c r="G136" s="1642"/>
      <c r="H136" s="357"/>
      <c r="N136" s="1372"/>
      <c r="P136" s="1372"/>
      <c r="Q136" s="1642"/>
      <c r="R136" s="1642"/>
      <c r="S136" s="1372"/>
      <c r="T136" s="1372"/>
      <c r="U136" s="1372"/>
      <c r="V136" s="1372"/>
      <c r="W136" s="1642"/>
      <c r="X136" s="1372"/>
      <c r="Y136" s="1372"/>
      <c r="Z136" s="550"/>
      <c r="AA136" s="1372"/>
      <c r="AB136" s="1372"/>
      <c r="AC136" s="1372"/>
      <c r="AD136" s="1372"/>
      <c r="AE136" s="1372"/>
      <c r="AF136" s="1638"/>
      <c r="AG136" s="628"/>
      <c r="AH136" s="628"/>
      <c r="AI136" s="628"/>
      <c r="AJ136" s="628"/>
      <c r="AK136" s="1647">
        <v>11</v>
      </c>
    </row>
    <row s="1647" customFormat="1" customHeight="1" ht="11.549999999999999">
      <c r="A137" s="993"/>
      <c r="B137" s="993"/>
      <c r="C137" s="993"/>
      <c r="D137" s="993"/>
      <c r="E137" s="993"/>
      <c r="F137" s="1642"/>
      <c r="G137" s="1642"/>
      <c r="H137" s="357"/>
      <c r="N137" s="1372"/>
      <c r="P137" s="1372"/>
      <c r="Q137" s="1642"/>
      <c r="R137" s="1642"/>
      <c r="S137" s="1372"/>
      <c r="T137" s="1372"/>
      <c r="U137" s="1372"/>
      <c r="V137" s="1372"/>
      <c r="W137" s="1642"/>
      <c r="X137" s="1372"/>
      <c r="Y137" s="1372"/>
      <c r="Z137" s="550"/>
      <c r="AA137" s="1372"/>
      <c r="AB137" s="1372"/>
      <c r="AC137" s="1372"/>
      <c r="AD137" s="1372"/>
      <c r="AE137" s="1372"/>
      <c r="AF137" s="1638"/>
      <c r="AG137" s="628"/>
      <c r="AH137" s="628"/>
      <c r="AI137" s="628"/>
      <c r="AJ137" s="628"/>
      <c r="AK137" s="1647">
        <v>11</v>
      </c>
    </row>
    <row s="1647" customFormat="1" customHeight="1" ht="11.549999999999999">
      <c r="A138" s="993"/>
      <c r="B138" s="993"/>
      <c r="C138" s="993"/>
      <c r="D138" s="993"/>
      <c r="E138" s="993"/>
      <c r="F138" s="1642"/>
      <c r="G138" s="1642"/>
      <c r="H138" s="357"/>
      <c r="N138" s="1372"/>
      <c r="P138" s="1372"/>
      <c r="Q138" s="1642"/>
      <c r="R138" s="1642"/>
      <c r="S138" s="1372"/>
      <c r="T138" s="1372"/>
      <c r="U138" s="1372"/>
      <c r="V138" s="1372"/>
      <c r="W138" s="1642"/>
      <c r="X138" s="1372"/>
      <c r="Y138" s="1372"/>
      <c r="Z138" s="550"/>
      <c r="AA138" s="1372"/>
      <c r="AB138" s="1372"/>
      <c r="AC138" s="1372"/>
      <c r="AD138" s="1372"/>
      <c r="AE138" s="1372"/>
      <c r="AF138" s="1638"/>
      <c r="AG138" s="628"/>
      <c r="AH138" s="628"/>
      <c r="AI138" s="628"/>
      <c r="AJ138" s="628"/>
      <c r="AK138" s="1647">
        <v>11</v>
      </c>
    </row>
    <row s="1647" customFormat="1" customHeight="1" ht="11.549999999999999">
      <c r="A139" s="993"/>
      <c r="B139" s="993"/>
      <c r="C139" s="993"/>
      <c r="D139" s="993"/>
      <c r="E139" s="993"/>
      <c r="F139" s="1642"/>
      <c r="G139" s="1642"/>
      <c r="H139" s="357"/>
      <c r="N139" s="1372"/>
      <c r="P139" s="1372"/>
      <c r="Q139" s="1642"/>
      <c r="R139" s="1642"/>
      <c r="S139" s="1372"/>
      <c r="T139" s="1372"/>
      <c r="U139" s="1372"/>
      <c r="V139" s="1372"/>
      <c r="W139" s="1642"/>
      <c r="X139" s="1372"/>
      <c r="Y139" s="1372"/>
      <c r="Z139" s="550"/>
      <c r="AA139" s="1372"/>
      <c r="AB139" s="1372"/>
      <c r="AC139" s="1372"/>
      <c r="AD139" s="1372"/>
      <c r="AE139" s="1372"/>
      <c r="AF139" s="1638"/>
      <c r="AG139" s="628"/>
      <c r="AH139" s="628"/>
      <c r="AI139" s="628"/>
      <c r="AJ139" s="628"/>
      <c r="AK139" s="1647">
        <v>11</v>
      </c>
    </row>
    <row s="1647" customFormat="1" customHeight="1" ht="11.549999999999999">
      <c r="A140" s="993"/>
      <c r="B140" s="993"/>
      <c r="C140" s="993"/>
      <c r="D140" s="993"/>
      <c r="E140" s="993"/>
      <c r="F140" s="1642"/>
      <c r="G140" s="1642"/>
      <c r="H140" s="357"/>
      <c r="N140" s="1372"/>
      <c r="P140" s="1372"/>
      <c r="Q140" s="1642"/>
      <c r="R140" s="1642"/>
      <c r="S140" s="1372"/>
      <c r="T140" s="1372"/>
      <c r="U140" s="1372"/>
      <c r="V140" s="1372"/>
      <c r="W140" s="1642"/>
      <c r="X140" s="1372"/>
      <c r="Y140" s="1372"/>
      <c r="Z140" s="550"/>
      <c r="AA140" s="1372"/>
      <c r="AB140" s="1372"/>
      <c r="AC140" s="1372"/>
      <c r="AD140" s="1372"/>
      <c r="AE140" s="1372"/>
      <c r="AF140" s="1638"/>
      <c r="AG140" s="628"/>
      <c r="AH140" s="628"/>
      <c r="AI140" s="628"/>
      <c r="AJ140" s="628"/>
      <c r="AK140" s="1647">
        <v>11</v>
      </c>
    </row>
    <row s="1647" customFormat="1" customHeight="1" ht="11.549999999999999">
      <c r="A141" s="993"/>
      <c r="B141" s="993"/>
      <c r="C141" s="993"/>
      <c r="D141" s="993"/>
      <c r="E141" s="993"/>
      <c r="F141" s="1642"/>
      <c r="G141" s="1642"/>
      <c r="H141" s="357"/>
      <c r="N141" s="1372"/>
      <c r="P141" s="1372"/>
      <c r="Q141" s="1642"/>
      <c r="R141" s="1642"/>
      <c r="S141" s="1372"/>
      <c r="T141" s="1372"/>
      <c r="U141" s="1372"/>
      <c r="V141" s="1372"/>
      <c r="W141" s="1642"/>
      <c r="X141" s="1372"/>
      <c r="Y141" s="1372"/>
      <c r="Z141" s="550"/>
      <c r="AA141" s="1372"/>
      <c r="AB141" s="1372"/>
      <c r="AC141" s="1372"/>
      <c r="AD141" s="1372"/>
      <c r="AE141" s="1372"/>
      <c r="AF141" s="1638"/>
      <c r="AG141" s="628"/>
      <c r="AH141" s="628"/>
      <c r="AI141" s="628"/>
      <c r="AJ141" s="628"/>
      <c r="AK141" s="1647">
        <v>11</v>
      </c>
    </row>
    <row s="1647" customFormat="1" customHeight="1" ht="11.549999999999999">
      <c r="A142" s="993"/>
      <c r="B142" s="993"/>
      <c r="C142" s="993"/>
      <c r="D142" s="993"/>
      <c r="E142" s="993"/>
      <c r="F142" s="1642"/>
      <c r="G142" s="1642"/>
      <c r="H142" s="357"/>
      <c r="N142" s="1372"/>
      <c r="P142" s="1372"/>
      <c r="Q142" s="1642"/>
      <c r="R142" s="1642"/>
      <c r="S142" s="1372"/>
      <c r="T142" s="1372"/>
      <c r="U142" s="1372"/>
      <c r="V142" s="1372"/>
      <c r="W142" s="1642"/>
      <c r="X142" s="1372"/>
      <c r="Y142" s="1372"/>
      <c r="Z142" s="550"/>
      <c r="AA142" s="1372"/>
      <c r="AB142" s="1372"/>
      <c r="AC142" s="1372"/>
      <c r="AD142" s="1372"/>
      <c r="AE142" s="1372"/>
      <c r="AF142" s="1638"/>
      <c r="AG142" s="628"/>
      <c r="AH142" s="628"/>
      <c r="AI142" s="628"/>
      <c r="AJ142" s="628"/>
      <c r="AK142" s="1647">
        <v>11</v>
      </c>
    </row>
    <row s="1647" customFormat="1" customHeight="1" ht="11.549999999999999">
      <c r="A143" s="993"/>
      <c r="B143" s="993"/>
      <c r="C143" s="993"/>
      <c r="D143" s="993"/>
      <c r="E143" s="993"/>
      <c r="F143" s="1642"/>
      <c r="G143" s="1642"/>
      <c r="H143" s="357"/>
      <c r="N143" s="1372"/>
      <c r="P143" s="1372"/>
      <c r="Q143" s="1642"/>
      <c r="R143" s="1642"/>
      <c r="S143" s="1372"/>
      <c r="T143" s="1372"/>
      <c r="U143" s="1372"/>
      <c r="V143" s="1372"/>
      <c r="W143" s="1642"/>
      <c r="X143" s="1372"/>
      <c r="Y143" s="1372"/>
      <c r="Z143" s="550"/>
      <c r="AA143" s="1372"/>
      <c r="AB143" s="1372"/>
      <c r="AC143" s="1372"/>
      <c r="AD143" s="1372"/>
      <c r="AE143" s="1372"/>
      <c r="AF143" s="1638"/>
      <c r="AG143" s="628"/>
      <c r="AH143" s="628"/>
      <c r="AI143" s="628"/>
      <c r="AJ143" s="628"/>
      <c r="AK143" s="1647">
        <v>11</v>
      </c>
    </row>
    <row s="1647" customFormat="1" customHeight="1" ht="11.549999999999999">
      <c r="A144" s="993"/>
      <c r="B144" s="993"/>
      <c r="C144" s="993"/>
      <c r="D144" s="993"/>
      <c r="E144" s="993"/>
      <c r="F144" s="1642"/>
      <c r="G144" s="1642"/>
      <c r="H144" s="357"/>
      <c r="N144" s="1372"/>
      <c r="P144" s="1372"/>
      <c r="Q144" s="1642"/>
      <c r="R144" s="1642"/>
      <c r="S144" s="1372"/>
      <c r="T144" s="1372"/>
      <c r="U144" s="1372"/>
      <c r="V144" s="1372"/>
      <c r="W144" s="1642"/>
      <c r="X144" s="1372"/>
      <c r="Y144" s="1372"/>
      <c r="Z144" s="550"/>
      <c r="AA144" s="1372"/>
      <c r="AB144" s="1372"/>
      <c r="AC144" s="1372"/>
      <c r="AD144" s="1372"/>
      <c r="AE144" s="1372"/>
      <c r="AF144" s="1638"/>
      <c r="AG144" s="628"/>
      <c r="AH144" s="628"/>
      <c r="AI144" s="628"/>
      <c r="AJ144" s="628"/>
      <c r="AK144" s="1647">
        <v>11</v>
      </c>
    </row>
    <row s="1647" customFormat="1" customHeight="1" ht="11.549999999999999">
      <c r="A145" s="993"/>
      <c r="B145" s="993"/>
      <c r="C145" s="993"/>
      <c r="D145" s="993"/>
      <c r="E145" s="993"/>
      <c r="F145" s="1642"/>
      <c r="G145" s="1642"/>
      <c r="H145" s="357"/>
      <c r="N145" s="1372"/>
      <c r="P145" s="1372"/>
      <c r="Q145" s="1642"/>
      <c r="R145" s="1642"/>
      <c r="S145" s="1372"/>
      <c r="T145" s="1372"/>
      <c r="U145" s="1372"/>
      <c r="V145" s="1372"/>
      <c r="W145" s="1642"/>
      <c r="X145" s="1372"/>
      <c r="Y145" s="1372"/>
      <c r="Z145" s="550"/>
      <c r="AA145" s="1372"/>
      <c r="AB145" s="1372"/>
      <c r="AC145" s="1372"/>
      <c r="AD145" s="1372"/>
      <c r="AE145" s="1372"/>
      <c r="AF145" s="1638"/>
      <c r="AG145" s="628"/>
      <c r="AH145" s="628"/>
      <c r="AI145" s="628"/>
      <c r="AJ145" s="628"/>
      <c r="AK145" s="1647">
        <v>11</v>
      </c>
    </row>
    <row s="1647" customFormat="1" customHeight="1" ht="11.549999999999999">
      <c r="A146" s="993"/>
      <c r="B146" s="993"/>
      <c r="C146" s="993"/>
      <c r="D146" s="993"/>
      <c r="E146" s="993"/>
      <c r="F146" s="1642"/>
      <c r="G146" s="1642"/>
      <c r="H146" s="357"/>
      <c r="N146" s="1372"/>
      <c r="P146" s="1372"/>
      <c r="Q146" s="1642"/>
      <c r="R146" s="1642"/>
      <c r="S146" s="1372"/>
      <c r="T146" s="1372"/>
      <c r="U146" s="1372"/>
      <c r="V146" s="1372"/>
      <c r="W146" s="1642"/>
      <c r="X146" s="1372"/>
      <c r="Y146" s="1372"/>
      <c r="Z146" s="550"/>
      <c r="AA146" s="1372"/>
      <c r="AB146" s="1372"/>
      <c r="AC146" s="1372"/>
      <c r="AD146" s="1372"/>
      <c r="AE146" s="1372"/>
      <c r="AF146" s="1638"/>
      <c r="AG146" s="628"/>
      <c r="AH146" s="628"/>
      <c r="AI146" s="628"/>
      <c r="AJ146" s="628"/>
      <c r="AK146" s="1647">
        <v>11</v>
      </c>
    </row>
    <row s="1647" customFormat="1" customHeight="1" ht="11.549999999999999">
      <c r="A147" s="993"/>
      <c r="B147" s="993"/>
      <c r="C147" s="993"/>
      <c r="D147" s="993"/>
      <c r="E147" s="993"/>
      <c r="F147" s="1642"/>
      <c r="G147" s="1642"/>
      <c r="H147" s="357"/>
      <c r="N147" s="1372"/>
      <c r="P147" s="1372"/>
      <c r="Q147" s="1642"/>
      <c r="R147" s="1642"/>
      <c r="S147" s="1372"/>
      <c r="T147" s="1372"/>
      <c r="U147" s="1372"/>
      <c r="V147" s="1372"/>
      <c r="W147" s="1642"/>
      <c r="X147" s="1372"/>
      <c r="Y147" s="1372"/>
      <c r="Z147" s="550"/>
      <c r="AA147" s="1372"/>
      <c r="AB147" s="1372"/>
      <c r="AC147" s="1372"/>
      <c r="AD147" s="1372"/>
      <c r="AE147" s="1372"/>
      <c r="AF147" s="1638"/>
      <c r="AG147" s="628"/>
      <c r="AH147" s="628"/>
      <c r="AI147" s="628"/>
      <c r="AJ147" s="628"/>
      <c r="AK147" s="1647">
        <v>11</v>
      </c>
    </row>
    <row s="1647" customFormat="1" customHeight="1" ht="11.549999999999999">
      <c r="A148" s="993"/>
      <c r="B148" s="993"/>
      <c r="C148" s="993"/>
      <c r="D148" s="993"/>
      <c r="E148" s="993"/>
      <c r="F148" s="1642"/>
      <c r="G148" s="1642"/>
      <c r="H148" s="357"/>
      <c r="N148" s="1372"/>
      <c r="P148" s="1372"/>
      <c r="Q148" s="1642"/>
      <c r="R148" s="1642"/>
      <c r="S148" s="1372"/>
      <c r="T148" s="1372"/>
      <c r="U148" s="1372"/>
      <c r="V148" s="1372"/>
      <c r="W148" s="1642"/>
      <c r="X148" s="1372"/>
      <c r="Y148" s="1372"/>
      <c r="Z148" s="550"/>
      <c r="AA148" s="1372"/>
      <c r="AB148" s="1372"/>
      <c r="AC148" s="1372"/>
      <c r="AD148" s="1372"/>
      <c r="AE148" s="1372"/>
      <c r="AF148" s="1638"/>
      <c r="AG148" s="628"/>
      <c r="AH148" s="628"/>
      <c r="AI148" s="628"/>
      <c r="AJ148" s="628"/>
      <c r="AK148" s="1647">
        <v>11</v>
      </c>
    </row>
    <row s="1647" customFormat="1" customHeight="1" ht="11.549999999999999">
      <c r="A149" s="993"/>
      <c r="B149" s="993"/>
      <c r="C149" s="993"/>
      <c r="D149" s="993"/>
      <c r="E149" s="993"/>
      <c r="F149" s="1642"/>
      <c r="G149" s="1642"/>
      <c r="H149" s="357"/>
      <c r="N149" s="1372"/>
      <c r="P149" s="1372"/>
      <c r="Q149" s="1642"/>
      <c r="R149" s="1642"/>
      <c r="S149" s="1372"/>
      <c r="T149" s="1372"/>
      <c r="U149" s="1372"/>
      <c r="V149" s="1372"/>
      <c r="W149" s="1642"/>
      <c r="X149" s="1372"/>
      <c r="Y149" s="1372"/>
      <c r="Z149" s="550"/>
      <c r="AA149" s="1372"/>
      <c r="AB149" s="1372"/>
      <c r="AC149" s="1372"/>
      <c r="AD149" s="1372"/>
      <c r="AE149" s="1372"/>
      <c r="AF149" s="1638"/>
      <c r="AG149" s="628"/>
      <c r="AH149" s="628"/>
      <c r="AI149" s="628"/>
      <c r="AJ149" s="628"/>
      <c r="AK149" s="1647">
        <v>11</v>
      </c>
    </row>
    <row s="1647" customFormat="1" customHeight="1" ht="11.549999999999999">
      <c r="A150" s="993"/>
      <c r="B150" s="993"/>
      <c r="C150" s="993"/>
      <c r="D150" s="993"/>
      <c r="E150" s="993"/>
      <c r="F150" s="1642"/>
      <c r="G150" s="1642"/>
      <c r="H150" s="357"/>
      <c r="N150" s="1372"/>
      <c r="P150" s="1372"/>
      <c r="Q150" s="1642"/>
      <c r="R150" s="1642"/>
      <c r="S150" s="1372"/>
      <c r="T150" s="1372"/>
      <c r="U150" s="1372"/>
      <c r="V150" s="1372"/>
      <c r="W150" s="1642"/>
      <c r="X150" s="1372"/>
      <c r="Y150" s="1372"/>
      <c r="Z150" s="550"/>
      <c r="AA150" s="1372"/>
      <c r="AB150" s="1372"/>
      <c r="AC150" s="1372"/>
      <c r="AD150" s="1372"/>
      <c r="AE150" s="1372"/>
      <c r="AF150" s="1638"/>
      <c r="AG150" s="628"/>
      <c r="AH150" s="628"/>
      <c r="AI150" s="628"/>
      <c r="AJ150" s="628"/>
      <c r="AK150" s="1647">
        <v>11</v>
      </c>
    </row>
    <row s="1647" customFormat="1" customHeight="1" ht="11.549999999999999">
      <c r="A151" s="993"/>
      <c r="B151" s="993"/>
      <c r="C151" s="993"/>
      <c r="D151" s="993"/>
      <c r="E151" s="993"/>
      <c r="F151" s="1642"/>
      <c r="G151" s="1642"/>
      <c r="H151" s="357"/>
      <c r="N151" s="1372"/>
      <c r="P151" s="1372"/>
      <c r="Q151" s="1642"/>
      <c r="R151" s="1642"/>
      <c r="S151" s="1372"/>
      <c r="T151" s="1372"/>
      <c r="U151" s="1372"/>
      <c r="V151" s="1372"/>
      <c r="W151" s="1642"/>
      <c r="X151" s="1372"/>
      <c r="Y151" s="1372"/>
      <c r="Z151" s="550"/>
      <c r="AA151" s="1372"/>
      <c r="AB151" s="1372"/>
      <c r="AC151" s="1372"/>
      <c r="AD151" s="1372"/>
      <c r="AE151" s="1372"/>
      <c r="AF151" s="1638"/>
      <c r="AG151" s="628"/>
      <c r="AH151" s="628"/>
      <c r="AI151" s="628"/>
      <c r="AJ151" s="628"/>
      <c r="AK151" s="1647">
        <v>11</v>
      </c>
    </row>
    <row s="1647" customFormat="1" customHeight="1" ht="11.549999999999999">
      <c r="A152" s="993"/>
      <c r="B152" s="993"/>
      <c r="C152" s="993"/>
      <c r="D152" s="993"/>
      <c r="E152" s="993"/>
      <c r="F152" s="1642"/>
      <c r="G152" s="1642"/>
      <c r="H152" s="357"/>
      <c r="N152" s="1372"/>
      <c r="P152" s="1372"/>
      <c r="Q152" s="1642"/>
      <c r="R152" s="1642"/>
      <c r="S152" s="1372"/>
      <c r="T152" s="1372"/>
      <c r="U152" s="1372"/>
      <c r="V152" s="1372"/>
      <c r="W152" s="1642"/>
      <c r="X152" s="1372"/>
      <c r="Y152" s="1372"/>
      <c r="Z152" s="550"/>
      <c r="AA152" s="1372"/>
      <c r="AB152" s="1372"/>
      <c r="AC152" s="1372"/>
      <c r="AD152" s="1372"/>
      <c r="AE152" s="1372"/>
      <c r="AF152" s="1638"/>
      <c r="AG152" s="628"/>
      <c r="AH152" s="628"/>
      <c r="AI152" s="628"/>
      <c r="AJ152" s="628"/>
      <c r="AK152" s="1647">
        <v>11</v>
      </c>
    </row>
    <row s="1647" customFormat="1" customHeight="1" ht="11.549999999999999">
      <c r="A153" s="993"/>
      <c r="B153" s="993"/>
      <c r="C153" s="993"/>
      <c r="D153" s="993"/>
      <c r="E153" s="993"/>
      <c r="F153" s="1642"/>
      <c r="G153" s="1642"/>
      <c r="H153" s="357"/>
      <c r="N153" s="1372"/>
      <c r="P153" s="1372"/>
      <c r="Q153" s="1642"/>
      <c r="R153" s="1642"/>
      <c r="S153" s="1372"/>
      <c r="T153" s="1372"/>
      <c r="U153" s="1372"/>
      <c r="V153" s="1372"/>
      <c r="W153" s="1642"/>
      <c r="X153" s="1372"/>
      <c r="Y153" s="1372"/>
      <c r="Z153" s="550"/>
      <c r="AA153" s="1372"/>
      <c r="AB153" s="1372"/>
      <c r="AC153" s="1372"/>
      <c r="AD153" s="1372"/>
      <c r="AE153" s="1372"/>
      <c r="AF153" s="1638"/>
      <c r="AG153" s="628"/>
      <c r="AH153" s="628"/>
      <c r="AI153" s="628"/>
      <c r="AJ153" s="628"/>
      <c r="AK153" s="1647">
        <v>11</v>
      </c>
    </row>
    <row s="1647" customFormat="1" customHeight="1" ht="11.549999999999999">
      <c r="A154" s="993"/>
      <c r="B154" s="993"/>
      <c r="C154" s="993"/>
      <c r="D154" s="993"/>
      <c r="E154" s="993"/>
      <c r="F154" s="1642"/>
      <c r="G154" s="1642"/>
      <c r="H154" s="357"/>
      <c r="N154" s="1372"/>
      <c r="P154" s="1372"/>
      <c r="Q154" s="1642"/>
      <c r="R154" s="1642"/>
      <c r="S154" s="1372"/>
      <c r="T154" s="1372"/>
      <c r="U154" s="1372"/>
      <c r="V154" s="1372"/>
      <c r="W154" s="1642"/>
      <c r="X154" s="1372"/>
      <c r="Y154" s="1372"/>
      <c r="Z154" s="550"/>
      <c r="AA154" s="1372"/>
      <c r="AB154" s="1372"/>
      <c r="AC154" s="1372"/>
      <c r="AD154" s="1372"/>
      <c r="AE154" s="1372"/>
      <c r="AF154" s="1638"/>
      <c r="AG154" s="628"/>
      <c r="AH154" s="628"/>
      <c r="AI154" s="628"/>
      <c r="AJ154" s="628"/>
      <c r="AK154" s="1647">
        <v>11</v>
      </c>
    </row>
    <row s="1647" customFormat="1" customHeight="1" ht="11.549999999999999">
      <c r="A155" s="993"/>
      <c r="B155" s="993"/>
      <c r="C155" s="993"/>
      <c r="D155" s="993"/>
      <c r="E155" s="993"/>
      <c r="F155" s="1642"/>
      <c r="G155" s="1642"/>
      <c r="H155" s="357"/>
      <c r="N155" s="1372"/>
      <c r="P155" s="1372"/>
      <c r="Q155" s="1642"/>
      <c r="R155" s="1642"/>
      <c r="S155" s="1372"/>
      <c r="T155" s="1372"/>
      <c r="U155" s="1372"/>
      <c r="V155" s="1372"/>
      <c r="W155" s="1642"/>
      <c r="X155" s="1372"/>
      <c r="Y155" s="1372"/>
      <c r="Z155" s="550"/>
      <c r="AA155" s="1372"/>
      <c r="AB155" s="1372"/>
      <c r="AC155" s="1372"/>
      <c r="AD155" s="1372"/>
      <c r="AE155" s="1372"/>
      <c r="AF155" s="1638"/>
      <c r="AG155" s="628"/>
      <c r="AH155" s="628"/>
      <c r="AI155" s="628"/>
      <c r="AJ155" s="628"/>
      <c r="AK155" s="1647">
        <v>11</v>
      </c>
    </row>
    <row s="1647" customFormat="1" customHeight="1" ht="11.549999999999999">
      <c r="A156" s="993"/>
      <c r="B156" s="993"/>
      <c r="C156" s="993"/>
      <c r="D156" s="993"/>
      <c r="E156" s="993"/>
      <c r="F156" s="1642"/>
      <c r="G156" s="1642"/>
      <c r="H156" s="357"/>
      <c r="N156" s="1372"/>
      <c r="P156" s="1372"/>
      <c r="Q156" s="1642"/>
      <c r="R156" s="1642"/>
      <c r="S156" s="1372"/>
      <c r="T156" s="1372"/>
      <c r="U156" s="1372"/>
      <c r="V156" s="1372"/>
      <c r="W156" s="1642"/>
      <c r="X156" s="1372"/>
      <c r="Y156" s="1372"/>
      <c r="Z156" s="550"/>
      <c r="AA156" s="1372"/>
      <c r="AB156" s="1372"/>
      <c r="AC156" s="1372"/>
      <c r="AD156" s="1372"/>
      <c r="AE156" s="1372"/>
      <c r="AF156" s="1638"/>
      <c r="AG156" s="628"/>
      <c r="AH156" s="628"/>
      <c r="AI156" s="628"/>
      <c r="AJ156" s="628"/>
      <c r="AK156" s="1647">
        <v>11</v>
      </c>
    </row>
    <row s="1647" customFormat="1" customHeight="1" ht="11.549999999999999">
      <c r="A157" s="993"/>
      <c r="B157" s="993"/>
      <c r="C157" s="993"/>
      <c r="D157" s="993"/>
      <c r="E157" s="993"/>
      <c r="F157" s="1642"/>
      <c r="G157" s="1642"/>
      <c r="H157" s="357"/>
      <c r="N157" s="1372"/>
      <c r="P157" s="1372"/>
      <c r="Q157" s="1642"/>
      <c r="R157" s="1642"/>
      <c r="S157" s="1372"/>
      <c r="T157" s="1372"/>
      <c r="U157" s="1372"/>
      <c r="V157" s="1372"/>
      <c r="W157" s="1642"/>
      <c r="X157" s="1372"/>
      <c r="Y157" s="1372"/>
      <c r="Z157" s="550"/>
      <c r="AA157" s="1372"/>
      <c r="AB157" s="1372"/>
      <c r="AC157" s="1372"/>
      <c r="AD157" s="1372"/>
      <c r="AE157" s="1372"/>
      <c r="AF157" s="1638"/>
      <c r="AG157" s="628"/>
      <c r="AH157" s="628"/>
      <c r="AI157" s="628"/>
      <c r="AJ157" s="628"/>
      <c r="AK157" s="1647">
        <v>11</v>
      </c>
    </row>
    <row s="1647" customFormat="1" customHeight="1" ht="11.549999999999999">
      <c r="A158" s="993"/>
      <c r="B158" s="993"/>
      <c r="C158" s="993"/>
      <c r="D158" s="993"/>
      <c r="E158" s="993"/>
      <c r="F158" s="1642"/>
      <c r="G158" s="1642"/>
      <c r="H158" s="357"/>
      <c r="N158" s="1372"/>
      <c r="P158" s="1372"/>
      <c r="Q158" s="1642"/>
      <c r="R158" s="1642"/>
      <c r="S158" s="1372"/>
      <c r="T158" s="1372"/>
      <c r="U158" s="1372"/>
      <c r="V158" s="1372"/>
      <c r="W158" s="1642"/>
      <c r="X158" s="1372"/>
      <c r="Y158" s="1372"/>
      <c r="Z158" s="550"/>
      <c r="AA158" s="1372"/>
      <c r="AB158" s="1372"/>
      <c r="AC158" s="1372"/>
      <c r="AD158" s="1372"/>
      <c r="AE158" s="1372"/>
      <c r="AF158" s="1638"/>
      <c r="AG158" s="628"/>
      <c r="AH158" s="628"/>
      <c r="AI158" s="628"/>
      <c r="AJ158" s="628"/>
      <c r="AK158" s="1647">
        <v>11</v>
      </c>
    </row>
    <row s="1647" customFormat="1" customHeight="1" ht="11.549999999999999">
      <c r="A159" s="993"/>
      <c r="B159" s="993"/>
      <c r="C159" s="993"/>
      <c r="D159" s="993"/>
      <c r="E159" s="993"/>
      <c r="F159" s="1642"/>
      <c r="G159" s="1642"/>
      <c r="H159" s="357"/>
      <c r="N159" s="1372"/>
      <c r="P159" s="1372"/>
      <c r="Q159" s="1642"/>
      <c r="R159" s="1642"/>
      <c r="S159" s="1372"/>
      <c r="T159" s="1372"/>
      <c r="U159" s="1372"/>
      <c r="V159" s="1372"/>
      <c r="W159" s="1642"/>
      <c r="X159" s="1372"/>
      <c r="Y159" s="1372"/>
      <c r="Z159" s="550"/>
      <c r="AA159" s="1372"/>
      <c r="AB159" s="1372"/>
      <c r="AC159" s="1372"/>
      <c r="AD159" s="1372"/>
      <c r="AE159" s="1372"/>
      <c r="AF159" s="1638"/>
      <c r="AG159" s="628"/>
      <c r="AH159" s="628"/>
      <c r="AI159" s="628"/>
      <c r="AJ159" s="628"/>
      <c r="AK159" s="1647">
        <v>11</v>
      </c>
    </row>
    <row s="1647" customFormat="1" customHeight="1" ht="11.549999999999999">
      <c r="A160" s="993"/>
      <c r="B160" s="993"/>
      <c r="C160" s="993"/>
      <c r="D160" s="993"/>
      <c r="E160" s="993"/>
      <c r="F160" s="1642"/>
      <c r="G160" s="1642"/>
      <c r="H160" s="357"/>
      <c r="N160" s="1372"/>
      <c r="P160" s="1372"/>
      <c r="Q160" s="1642"/>
      <c r="R160" s="1642"/>
      <c r="S160" s="1372"/>
      <c r="T160" s="1372"/>
      <c r="U160" s="1372"/>
      <c r="V160" s="1372"/>
      <c r="W160" s="1642"/>
      <c r="X160" s="1372"/>
      <c r="Y160" s="1372"/>
      <c r="Z160" s="550"/>
      <c r="AA160" s="1372"/>
      <c r="AB160" s="1372"/>
      <c r="AC160" s="1372"/>
      <c r="AD160" s="1372"/>
      <c r="AE160" s="1372"/>
      <c r="AF160" s="1638"/>
      <c r="AG160" s="628"/>
      <c r="AH160" s="628"/>
      <c r="AI160" s="628"/>
      <c r="AJ160" s="628"/>
      <c r="AK160" s="1647">
        <v>11</v>
      </c>
    </row>
    <row s="1647" customFormat="1" customHeight="1" ht="11.549999999999999">
      <c r="A161" s="993"/>
      <c r="B161" s="993"/>
      <c r="C161" s="993"/>
      <c r="D161" s="993"/>
      <c r="E161" s="993"/>
      <c r="F161" s="1642"/>
      <c r="G161" s="1642"/>
      <c r="H161" s="357"/>
      <c r="N161" s="1372"/>
      <c r="P161" s="1372"/>
      <c r="Q161" s="1642"/>
      <c r="R161" s="1642"/>
      <c r="S161" s="1372"/>
      <c r="T161" s="1372"/>
      <c r="U161" s="1372"/>
      <c r="V161" s="1372"/>
      <c r="W161" s="1642"/>
      <c r="X161" s="1372"/>
      <c r="Y161" s="1372"/>
      <c r="Z161" s="550"/>
      <c r="AA161" s="1372"/>
      <c r="AB161" s="1372"/>
      <c r="AC161" s="1372"/>
      <c r="AD161" s="1372"/>
      <c r="AE161" s="1372"/>
      <c r="AF161" s="1638"/>
      <c r="AG161" s="628"/>
      <c r="AH161" s="628"/>
      <c r="AI161" s="628"/>
      <c r="AJ161" s="628"/>
      <c r="AK161" s="1647">
        <v>11</v>
      </c>
    </row>
    <row s="1647" customFormat="1" customHeight="1" ht="11.549999999999999">
      <c r="A162" s="993"/>
      <c r="B162" s="993"/>
      <c r="C162" s="993"/>
      <c r="D162" s="993"/>
      <c r="E162" s="993"/>
      <c r="F162" s="1642"/>
      <c r="G162" s="1642"/>
      <c r="H162" s="357"/>
      <c r="N162" s="1372"/>
      <c r="P162" s="1372"/>
      <c r="Q162" s="1642"/>
      <c r="R162" s="1642"/>
      <c r="S162" s="1372"/>
      <c r="T162" s="1372"/>
      <c r="U162" s="1372"/>
      <c r="V162" s="1372"/>
      <c r="W162" s="1642"/>
      <c r="X162" s="1372"/>
      <c r="Y162" s="1372"/>
      <c r="Z162" s="550"/>
      <c r="AA162" s="1372"/>
      <c r="AB162" s="1372"/>
      <c r="AC162" s="1372"/>
      <c r="AD162" s="1372"/>
      <c r="AE162" s="1372"/>
      <c r="AF162" s="1638"/>
      <c r="AG162" s="628"/>
      <c r="AH162" s="628"/>
      <c r="AI162" s="628"/>
      <c r="AJ162" s="628"/>
      <c r="AK162" s="1647">
        <v>11</v>
      </c>
    </row>
    <row s="1647" customFormat="1" customHeight="1" ht="11.549999999999999">
      <c r="A163" s="993"/>
      <c r="B163" s="993"/>
      <c r="C163" s="993"/>
      <c r="D163" s="993"/>
      <c r="E163" s="993"/>
      <c r="F163" s="1642"/>
      <c r="G163" s="1642"/>
      <c r="H163" s="357"/>
      <c r="N163" s="1372"/>
      <c r="P163" s="1372"/>
      <c r="Q163" s="1642"/>
      <c r="R163" s="1642"/>
      <c r="S163" s="1372"/>
      <c r="T163" s="1372"/>
      <c r="U163" s="1372"/>
      <c r="V163" s="1372"/>
      <c r="W163" s="1642"/>
      <c r="X163" s="1372"/>
      <c r="Y163" s="1372"/>
      <c r="Z163" s="550"/>
      <c r="AA163" s="1372"/>
      <c r="AB163" s="1372"/>
      <c r="AC163" s="1372"/>
      <c r="AD163" s="1372"/>
      <c r="AE163" s="1372"/>
      <c r="AF163" s="1638"/>
      <c r="AG163" s="628"/>
      <c r="AH163" s="628"/>
      <c r="AI163" s="628"/>
      <c r="AJ163" s="628"/>
      <c r="AK163" s="1647">
        <v>11</v>
      </c>
    </row>
    <row s="1647" customFormat="1" customHeight="1" ht="11.549999999999999">
      <c r="A164" s="993"/>
      <c r="B164" s="993"/>
      <c r="C164" s="993"/>
      <c r="D164" s="993"/>
      <c r="E164" s="993"/>
      <c r="F164" s="1642"/>
      <c r="G164" s="1642"/>
      <c r="H164" s="357"/>
      <c r="N164" s="1372"/>
      <c r="P164" s="1372"/>
      <c r="Q164" s="1642"/>
      <c r="R164" s="1642"/>
      <c r="S164" s="1372"/>
      <c r="T164" s="1372"/>
      <c r="U164" s="1372"/>
      <c r="V164" s="1372"/>
      <c r="W164" s="1642"/>
      <c r="X164" s="1372"/>
      <c r="Y164" s="1372"/>
      <c r="Z164" s="550"/>
      <c r="AA164" s="1372"/>
      <c r="AB164" s="1372"/>
      <c r="AC164" s="1372"/>
      <c r="AD164" s="1372"/>
      <c r="AE164" s="1372"/>
      <c r="AF164" s="1638"/>
      <c r="AG164" s="628"/>
      <c r="AH164" s="628"/>
      <c r="AI164" s="628"/>
      <c r="AJ164" s="628"/>
      <c r="AK164" s="1647">
        <v>11</v>
      </c>
    </row>
    <row s="1647" customFormat="1" customHeight="1" ht="11.549999999999999">
      <c r="A165" s="993"/>
      <c r="B165" s="993"/>
      <c r="C165" s="993"/>
      <c r="D165" s="993"/>
      <c r="E165" s="993"/>
      <c r="F165" s="1642"/>
      <c r="G165" s="1642"/>
      <c r="H165" s="357"/>
      <c r="N165" s="1372"/>
      <c r="P165" s="1372"/>
      <c r="Q165" s="1642"/>
      <c r="R165" s="1642"/>
      <c r="S165" s="1372"/>
      <c r="T165" s="1372"/>
      <c r="U165" s="1372"/>
      <c r="V165" s="1372"/>
      <c r="W165" s="1642"/>
      <c r="X165" s="1372"/>
      <c r="Y165" s="1372"/>
      <c r="Z165" s="550"/>
      <c r="AA165" s="1372"/>
      <c r="AB165" s="1372"/>
      <c r="AC165" s="1372"/>
      <c r="AD165" s="1372"/>
      <c r="AE165" s="1372"/>
      <c r="AF165" s="1638"/>
      <c r="AG165" s="628"/>
      <c r="AH165" s="628"/>
      <c r="AI165" s="628"/>
      <c r="AJ165" s="628"/>
      <c r="AK165" s="1647">
        <v>11</v>
      </c>
    </row>
    <row s="1647" customFormat="1" customHeight="1" ht="11.549999999999999">
      <c r="A166" s="993"/>
      <c r="B166" s="993"/>
      <c r="C166" s="993"/>
      <c r="D166" s="993"/>
      <c r="E166" s="993"/>
      <c r="F166" s="1642"/>
      <c r="G166" s="1642"/>
      <c r="H166" s="357"/>
      <c r="N166" s="1372"/>
      <c r="P166" s="1372"/>
      <c r="Q166" s="1642"/>
      <c r="R166" s="1642"/>
      <c r="S166" s="1372"/>
      <c r="T166" s="1372"/>
      <c r="U166" s="1372"/>
      <c r="V166" s="1372"/>
      <c r="W166" s="1642"/>
      <c r="X166" s="1372"/>
      <c r="Y166" s="1372"/>
      <c r="Z166" s="550"/>
      <c r="AA166" s="1372"/>
      <c r="AB166" s="1372"/>
      <c r="AC166" s="1372"/>
      <c r="AD166" s="1372"/>
      <c r="AE166" s="1372"/>
      <c r="AF166" s="1638"/>
      <c r="AG166" s="628"/>
      <c r="AH166" s="628"/>
      <c r="AI166" s="628"/>
      <c r="AJ166" s="628"/>
      <c r="AK166" s="1647">
        <v>11</v>
      </c>
    </row>
    <row s="1647" customFormat="1" customHeight="1" ht="11.549999999999999">
      <c r="A167" s="993"/>
      <c r="B167" s="993"/>
      <c r="C167" s="993"/>
      <c r="D167" s="993"/>
      <c r="E167" s="993"/>
      <c r="F167" s="1642"/>
      <c r="G167" s="1642"/>
      <c r="H167" s="357"/>
      <c r="N167" s="1372"/>
      <c r="P167" s="1372"/>
      <c r="Q167" s="1642"/>
      <c r="R167" s="1642"/>
      <c r="S167" s="1372"/>
      <c r="T167" s="1372"/>
      <c r="U167" s="1372"/>
      <c r="V167" s="1372"/>
      <c r="W167" s="1642"/>
      <c r="X167" s="1372"/>
      <c r="Y167" s="1372"/>
      <c r="Z167" s="550"/>
      <c r="AA167" s="1372"/>
      <c r="AB167" s="1372"/>
      <c r="AC167" s="1372"/>
      <c r="AD167" s="1372"/>
      <c r="AE167" s="1372"/>
      <c r="AF167" s="1638"/>
      <c r="AG167" s="628"/>
      <c r="AH167" s="628"/>
      <c r="AI167" s="628"/>
      <c r="AJ167" s="628"/>
      <c r="AK167" s="1647">
        <v>11</v>
      </c>
    </row>
    <row s="1647" customFormat="1" customHeight="1" ht="11.549999999999999">
      <c r="A168" s="993"/>
      <c r="B168" s="993"/>
      <c r="C168" s="993"/>
      <c r="D168" s="993"/>
      <c r="E168" s="993"/>
      <c r="F168" s="1642"/>
      <c r="G168" s="1642"/>
      <c r="H168" s="357"/>
      <c r="N168" s="1372"/>
      <c r="P168" s="1372"/>
      <c r="Q168" s="1642"/>
      <c r="R168" s="1642"/>
      <c r="S168" s="1372"/>
      <c r="T168" s="1372"/>
      <c r="U168" s="1372"/>
      <c r="V168" s="1372"/>
      <c r="W168" s="1642"/>
      <c r="X168" s="1372"/>
      <c r="Y168" s="1372"/>
      <c r="Z168" s="550"/>
      <c r="AA168" s="1372"/>
      <c r="AB168" s="1372"/>
      <c r="AC168" s="1372"/>
      <c r="AD168" s="1372"/>
      <c r="AE168" s="1372"/>
      <c r="AF168" s="1638"/>
      <c r="AG168" s="628"/>
      <c r="AH168" s="628"/>
      <c r="AI168" s="628"/>
      <c r="AJ168" s="628"/>
      <c r="AK168" s="1647">
        <v>11</v>
      </c>
    </row>
    <row s="1647" customFormat="1" customHeight="1" ht="11.549999999999999">
      <c r="A169" s="993"/>
      <c r="B169" s="993"/>
      <c r="C169" s="993"/>
      <c r="D169" s="993"/>
      <c r="E169" s="993"/>
      <c r="F169" s="1642"/>
      <c r="G169" s="1642"/>
      <c r="H169" s="357"/>
      <c r="N169" s="1372"/>
      <c r="P169" s="1372"/>
      <c r="Q169" s="1642"/>
      <c r="R169" s="1642"/>
      <c r="S169" s="1372"/>
      <c r="T169" s="1372"/>
      <c r="U169" s="1372"/>
      <c r="V169" s="1372"/>
      <c r="W169" s="1642"/>
      <c r="X169" s="1372"/>
      <c r="Y169" s="1372"/>
      <c r="Z169" s="550"/>
      <c r="AA169" s="1372"/>
      <c r="AB169" s="1372"/>
      <c r="AC169" s="1372"/>
      <c r="AD169" s="1372"/>
      <c r="AE169" s="1372"/>
      <c r="AF169" s="1638"/>
      <c r="AG169" s="628"/>
      <c r="AH169" s="628"/>
      <c r="AI169" s="628"/>
      <c r="AJ169" s="628"/>
      <c r="AK169" s="1647">
        <v>11</v>
      </c>
    </row>
    <row s="1647" customFormat="1" customHeight="1" ht="11.549999999999999">
      <c r="A170" s="993"/>
      <c r="B170" s="993"/>
      <c r="C170" s="993"/>
      <c r="D170" s="993"/>
      <c r="E170" s="993"/>
      <c r="F170" s="1642"/>
      <c r="G170" s="1642"/>
      <c r="H170" s="357"/>
      <c r="N170" s="1372"/>
      <c r="P170" s="1372"/>
      <c r="Q170" s="1642"/>
      <c r="R170" s="1642"/>
      <c r="S170" s="1372"/>
      <c r="T170" s="1372"/>
      <c r="U170" s="1372"/>
      <c r="V170" s="1372"/>
      <c r="W170" s="1642"/>
      <c r="X170" s="1372"/>
      <c r="Y170" s="1372"/>
      <c r="Z170" s="550"/>
      <c r="AA170" s="1372"/>
      <c r="AB170" s="1372"/>
      <c r="AC170" s="1372"/>
      <c r="AD170" s="1372"/>
      <c r="AE170" s="1372"/>
      <c r="AF170" s="1638"/>
      <c r="AG170" s="628"/>
      <c r="AH170" s="628"/>
      <c r="AI170" s="628"/>
      <c r="AJ170" s="628"/>
      <c r="AK170" s="1647">
        <v>11</v>
      </c>
    </row>
    <row s="1647" customFormat="1" customHeight="1" ht="11.549999999999999">
      <c r="A171" s="993"/>
      <c r="B171" s="993"/>
      <c r="C171" s="993"/>
      <c r="D171" s="993"/>
      <c r="E171" s="993"/>
      <c r="F171" s="1642"/>
      <c r="G171" s="1642"/>
      <c r="H171" s="357"/>
      <c r="N171" s="1372"/>
      <c r="P171" s="1372"/>
      <c r="Q171" s="1642"/>
      <c r="R171" s="1642"/>
      <c r="S171" s="1372"/>
      <c r="T171" s="1372"/>
      <c r="U171" s="1372"/>
      <c r="V171" s="1372"/>
      <c r="W171" s="1642"/>
      <c r="X171" s="1372"/>
      <c r="Y171" s="1372"/>
      <c r="Z171" s="550"/>
      <c r="AA171" s="1372"/>
      <c r="AB171" s="1372"/>
      <c r="AC171" s="1372"/>
      <c r="AD171" s="1372"/>
      <c r="AE171" s="1372"/>
      <c r="AF171" s="1638"/>
      <c r="AG171" s="628"/>
      <c r="AH171" s="628"/>
      <c r="AI171" s="628"/>
      <c r="AJ171" s="628"/>
      <c r="AK171" s="1647">
        <v>11</v>
      </c>
    </row>
    <row s="1647" customFormat="1" customHeight="1" ht="11.549999999999999">
      <c r="A172" s="993"/>
      <c r="B172" s="993"/>
      <c r="C172" s="993"/>
      <c r="D172" s="993"/>
      <c r="E172" s="993"/>
      <c r="F172" s="1642"/>
      <c r="G172" s="1642"/>
      <c r="H172" s="357"/>
      <c r="N172" s="1372"/>
      <c r="P172" s="1372"/>
      <c r="Q172" s="1642"/>
      <c r="R172" s="1642"/>
      <c r="S172" s="1372"/>
      <c r="T172" s="1372"/>
      <c r="U172" s="1372"/>
      <c r="V172" s="1372"/>
      <c r="W172" s="1642"/>
      <c r="X172" s="1372"/>
      <c r="Y172" s="1372"/>
      <c r="Z172" s="550"/>
      <c r="AA172" s="1372"/>
      <c r="AB172" s="1372"/>
      <c r="AC172" s="1372"/>
      <c r="AD172" s="1372"/>
      <c r="AE172" s="1372"/>
      <c r="AF172" s="1638"/>
      <c r="AG172" s="628"/>
      <c r="AH172" s="628"/>
      <c r="AI172" s="628"/>
      <c r="AJ172" s="628"/>
      <c r="AK172" s="1647">
        <v>11</v>
      </c>
    </row>
    <row s="1647" customFormat="1" customHeight="1" ht="11.549999999999999">
      <c r="A173" s="993"/>
      <c r="B173" s="993"/>
      <c r="C173" s="993"/>
      <c r="D173" s="993"/>
      <c r="E173" s="993"/>
      <c r="F173" s="1642"/>
      <c r="G173" s="1642"/>
      <c r="H173" s="357"/>
      <c r="N173" s="1372"/>
      <c r="P173" s="1372"/>
      <c r="Q173" s="1642"/>
      <c r="R173" s="1642"/>
      <c r="S173" s="1372"/>
      <c r="T173" s="1372"/>
      <c r="U173" s="1372"/>
      <c r="V173" s="1372"/>
      <c r="W173" s="1642"/>
      <c r="X173" s="1372"/>
      <c r="Y173" s="1372"/>
      <c r="Z173" s="550"/>
      <c r="AA173" s="1372"/>
      <c r="AB173" s="1372"/>
      <c r="AC173" s="1372"/>
      <c r="AD173" s="1372"/>
      <c r="AE173" s="1372"/>
      <c r="AF173" s="1638"/>
      <c r="AG173" s="628"/>
      <c r="AH173" s="628"/>
      <c r="AI173" s="628"/>
      <c r="AJ173" s="628"/>
      <c r="AK173" s="1647">
        <v>11</v>
      </c>
    </row>
    <row s="1647" customFormat="1" customHeight="1" ht="11.549999999999999">
      <c r="A174" s="993"/>
      <c r="B174" s="993"/>
      <c r="C174" s="993"/>
      <c r="D174" s="993"/>
      <c r="E174" s="993"/>
      <c r="F174" s="1642"/>
      <c r="G174" s="1642"/>
      <c r="H174" s="357"/>
      <c r="N174" s="1372"/>
      <c r="P174" s="1372"/>
      <c r="Q174" s="1642"/>
      <c r="R174" s="1642"/>
      <c r="S174" s="1372"/>
      <c r="T174" s="1372"/>
      <c r="U174" s="1372"/>
      <c r="V174" s="1372"/>
      <c r="W174" s="1642"/>
      <c r="X174" s="1372"/>
      <c r="Y174" s="1372"/>
      <c r="Z174" s="550"/>
      <c r="AA174" s="1372"/>
      <c r="AB174" s="1372"/>
      <c r="AC174" s="1372"/>
      <c r="AD174" s="1372"/>
      <c r="AE174" s="1372"/>
      <c r="AF174" s="1638"/>
      <c r="AG174" s="628"/>
      <c r="AH174" s="628"/>
      <c r="AI174" s="628"/>
      <c r="AJ174" s="628"/>
      <c r="AK174" s="1647">
        <v>11</v>
      </c>
    </row>
    <row s="1647" customFormat="1" customHeight="1" ht="11.549999999999999">
      <c r="A175" s="993"/>
      <c r="B175" s="993"/>
      <c r="C175" s="993"/>
      <c r="D175" s="993"/>
      <c r="E175" s="993"/>
      <c r="F175" s="1642"/>
      <c r="G175" s="1642"/>
      <c r="H175" s="357"/>
      <c r="N175" s="1372"/>
      <c r="P175" s="1372"/>
      <c r="Q175" s="1642"/>
      <c r="R175" s="1642"/>
      <c r="S175" s="1372"/>
      <c r="T175" s="1372"/>
      <c r="U175" s="1372"/>
      <c r="V175" s="1372"/>
      <c r="W175" s="1642"/>
      <c r="X175" s="1372"/>
      <c r="Y175" s="1372"/>
      <c r="Z175" s="550"/>
      <c r="AA175" s="1372"/>
      <c r="AB175" s="1372"/>
      <c r="AC175" s="1372"/>
      <c r="AD175" s="1372"/>
      <c r="AE175" s="1372"/>
      <c r="AF175" s="1638"/>
      <c r="AG175" s="628"/>
      <c r="AH175" s="628"/>
      <c r="AI175" s="628"/>
      <c r="AJ175" s="628"/>
      <c r="AK175" s="1647">
        <v>11</v>
      </c>
    </row>
    <row s="1647" customFormat="1" customHeight="1" ht="11.549999999999999">
      <c r="A176" s="993"/>
      <c r="B176" s="993"/>
      <c r="C176" s="993"/>
      <c r="D176" s="993"/>
      <c r="E176" s="993"/>
      <c r="F176" s="1642"/>
      <c r="G176" s="1642"/>
      <c r="H176" s="357"/>
      <c r="N176" s="1372"/>
      <c r="P176" s="1372"/>
      <c r="Q176" s="1642"/>
      <c r="R176" s="1642"/>
      <c r="S176" s="1372"/>
      <c r="T176" s="1372"/>
      <c r="U176" s="1372"/>
      <c r="V176" s="1372"/>
      <c r="W176" s="1642"/>
      <c r="X176" s="1372"/>
      <c r="Y176" s="1372"/>
      <c r="Z176" s="550"/>
      <c r="AA176" s="1372"/>
      <c r="AB176" s="1372"/>
      <c r="AC176" s="1372"/>
      <c r="AD176" s="1372"/>
      <c r="AE176" s="1372"/>
      <c r="AF176" s="1638"/>
      <c r="AG176" s="628"/>
      <c r="AH176" s="628"/>
      <c r="AI176" s="628"/>
      <c r="AJ176" s="628"/>
      <c r="AK176" s="1647">
        <v>11</v>
      </c>
    </row>
    <row s="1647" customFormat="1" customHeight="1" ht="11.549999999999999">
      <c r="A177" s="993"/>
      <c r="B177" s="993"/>
      <c r="C177" s="993"/>
      <c r="D177" s="993"/>
      <c r="E177" s="993"/>
      <c r="F177" s="1642"/>
      <c r="G177" s="1642"/>
      <c r="H177" s="357"/>
      <c r="N177" s="1372"/>
      <c r="P177" s="1372"/>
      <c r="Q177" s="1642"/>
      <c r="R177" s="1642"/>
      <c r="S177" s="1372"/>
      <c r="T177" s="1372"/>
      <c r="U177" s="1372"/>
      <c r="V177" s="1372"/>
      <c r="W177" s="1642"/>
      <c r="X177" s="1372"/>
      <c r="Y177" s="1372"/>
      <c r="Z177" s="550"/>
      <c r="AA177" s="1372"/>
      <c r="AB177" s="1372"/>
      <c r="AC177" s="1372"/>
      <c r="AD177" s="1372"/>
      <c r="AE177" s="1372"/>
      <c r="AF177" s="1638"/>
      <c r="AG177" s="628"/>
      <c r="AH177" s="628"/>
      <c r="AI177" s="628"/>
      <c r="AJ177" s="628"/>
      <c r="AK177" s="1647">
        <v>11</v>
      </c>
    </row>
    <row s="1647" customFormat="1" customHeight="1" ht="11.549999999999999">
      <c r="A178" s="993"/>
      <c r="B178" s="993"/>
      <c r="C178" s="993"/>
      <c r="D178" s="993"/>
      <c r="E178" s="993"/>
      <c r="F178" s="1642"/>
      <c r="G178" s="1642"/>
      <c r="H178" s="357"/>
      <c r="N178" s="1372"/>
      <c r="P178" s="1372"/>
      <c r="Q178" s="1642"/>
      <c r="R178" s="1642"/>
      <c r="S178" s="1372"/>
      <c r="T178" s="1372"/>
      <c r="U178" s="1372"/>
      <c r="V178" s="1372"/>
      <c r="W178" s="1642"/>
      <c r="X178" s="1372"/>
      <c r="Y178" s="1372"/>
      <c r="Z178" s="550"/>
      <c r="AA178" s="1372"/>
      <c r="AB178" s="1372"/>
      <c r="AC178" s="1372"/>
      <c r="AD178" s="1372"/>
      <c r="AE178" s="1372"/>
      <c r="AF178" s="1638"/>
      <c r="AG178" s="628"/>
      <c r="AH178" s="628"/>
      <c r="AI178" s="628"/>
      <c r="AJ178" s="628"/>
      <c r="AK178" s="1647">
        <v>11</v>
      </c>
    </row>
    <row s="1647" customFormat="1" customHeight="1" ht="11.549999999999999">
      <c r="A179" s="993"/>
      <c r="B179" s="993"/>
      <c r="C179" s="993"/>
      <c r="D179" s="993"/>
      <c r="E179" s="993"/>
      <c r="F179" s="1642"/>
      <c r="G179" s="1642"/>
      <c r="H179" s="357"/>
      <c r="N179" s="1372"/>
      <c r="P179" s="1372"/>
      <c r="Q179" s="1642"/>
      <c r="R179" s="1642"/>
      <c r="S179" s="1372"/>
      <c r="T179" s="1372"/>
      <c r="U179" s="1372"/>
      <c r="V179" s="1372"/>
      <c r="W179" s="1642"/>
      <c r="X179" s="1372"/>
      <c r="Y179" s="1372"/>
      <c r="Z179" s="550"/>
      <c r="AA179" s="1372"/>
      <c r="AB179" s="1372"/>
      <c r="AC179" s="1372"/>
      <c r="AD179" s="1372"/>
      <c r="AE179" s="1372"/>
      <c r="AF179" s="1638"/>
      <c r="AG179" s="628"/>
      <c r="AH179" s="628"/>
      <c r="AI179" s="628"/>
      <c r="AJ179" s="628"/>
      <c r="AK179" s="1647">
        <v>11</v>
      </c>
    </row>
    <row s="1647" customFormat="1" customHeight="1" ht="11.549999999999999">
      <c r="A180" s="993"/>
      <c r="B180" s="993"/>
      <c r="C180" s="993"/>
      <c r="D180" s="993"/>
      <c r="E180" s="993"/>
      <c r="F180" s="1642"/>
      <c r="G180" s="1642"/>
      <c r="H180" s="357"/>
      <c r="N180" s="1372"/>
      <c r="P180" s="1372"/>
      <c r="Q180" s="1642"/>
      <c r="R180" s="1642"/>
      <c r="S180" s="1372"/>
      <c r="T180" s="1372"/>
      <c r="U180" s="1372"/>
      <c r="V180" s="1372"/>
      <c r="W180" s="1642"/>
      <c r="X180" s="1372"/>
      <c r="Y180" s="1372"/>
      <c r="Z180" s="550"/>
      <c r="AA180" s="1372"/>
      <c r="AB180" s="1372"/>
      <c r="AC180" s="1372"/>
      <c r="AD180" s="1372"/>
      <c r="AE180" s="1372"/>
      <c r="AF180" s="1638"/>
      <c r="AG180" s="628"/>
      <c r="AH180" s="628"/>
      <c r="AI180" s="628"/>
      <c r="AJ180" s="628"/>
      <c r="AK180" s="1647">
        <v>11</v>
      </c>
    </row>
    <row s="1647" customFormat="1" customHeight="1" ht="11.549999999999999">
      <c r="A181" s="993"/>
      <c r="B181" s="993"/>
      <c r="C181" s="993"/>
      <c r="D181" s="993"/>
      <c r="E181" s="993"/>
      <c r="F181" s="1642"/>
      <c r="G181" s="1642"/>
      <c r="H181" s="357"/>
      <c r="N181" s="1372"/>
      <c r="P181" s="1372"/>
      <c r="Q181" s="1642"/>
      <c r="R181" s="1642"/>
      <c r="S181" s="1372"/>
      <c r="T181" s="1372"/>
      <c r="U181" s="1372"/>
      <c r="V181" s="1372"/>
      <c r="W181" s="1642"/>
      <c r="X181" s="1372"/>
      <c r="Y181" s="1372"/>
      <c r="Z181" s="550"/>
      <c r="AA181" s="1372"/>
      <c r="AB181" s="1372"/>
      <c r="AC181" s="1372"/>
      <c r="AD181" s="1372"/>
      <c r="AE181" s="1372"/>
      <c r="AF181" s="1638"/>
      <c r="AG181" s="628"/>
      <c r="AH181" s="628"/>
      <c r="AI181" s="628"/>
      <c r="AJ181" s="628"/>
      <c r="AK181" s="1647">
        <v>11</v>
      </c>
    </row>
    <row s="1647" customFormat="1" customHeight="1" ht="11.549999999999999">
      <c r="A182" s="993"/>
      <c r="B182" s="993"/>
      <c r="C182" s="993"/>
      <c r="D182" s="993"/>
      <c r="E182" s="993"/>
      <c r="F182" s="1642"/>
      <c r="G182" s="1642"/>
      <c r="H182" s="357"/>
      <c r="N182" s="1372"/>
      <c r="P182" s="1372"/>
      <c r="Q182" s="1642"/>
      <c r="R182" s="1642"/>
      <c r="S182" s="1372"/>
      <c r="T182" s="1372"/>
      <c r="U182" s="1372"/>
      <c r="V182" s="1372"/>
      <c r="W182" s="1642"/>
      <c r="X182" s="1372"/>
      <c r="Y182" s="1372"/>
      <c r="Z182" s="550"/>
      <c r="AA182" s="1372"/>
      <c r="AB182" s="1372"/>
      <c r="AC182" s="1372"/>
      <c r="AD182" s="1372"/>
      <c r="AE182" s="1372"/>
      <c r="AF182" s="1638"/>
      <c r="AG182" s="628"/>
      <c r="AH182" s="628"/>
      <c r="AI182" s="628"/>
      <c r="AJ182" s="628"/>
      <c r="AK182" s="1647">
        <v>11</v>
      </c>
    </row>
    <row s="1647" customFormat="1" customHeight="1" ht="11.549999999999999">
      <c r="A183" s="993"/>
      <c r="B183" s="993"/>
      <c r="C183" s="993"/>
      <c r="D183" s="993"/>
      <c r="E183" s="993"/>
      <c r="F183" s="1642"/>
      <c r="G183" s="1642"/>
      <c r="H183" s="357"/>
      <c r="N183" s="1372"/>
      <c r="P183" s="1372"/>
      <c r="Q183" s="1642"/>
      <c r="R183" s="1642"/>
      <c r="S183" s="1372"/>
      <c r="T183" s="1372"/>
      <c r="U183" s="1372"/>
      <c r="V183" s="1372"/>
      <c r="W183" s="1642"/>
      <c r="X183" s="1372"/>
      <c r="Y183" s="1372"/>
      <c r="Z183" s="550"/>
      <c r="AA183" s="1372"/>
      <c r="AB183" s="1372"/>
      <c r="AC183" s="1372"/>
      <c r="AD183" s="1372"/>
      <c r="AE183" s="1372"/>
      <c r="AF183" s="1638"/>
      <c r="AG183" s="628"/>
      <c r="AH183" s="628"/>
      <c r="AI183" s="628"/>
      <c r="AJ183" s="628"/>
      <c r="AK183" s="1647">
        <v>11</v>
      </c>
    </row>
    <row s="1647" customFormat="1" customHeight="1" ht="11.549999999999999">
      <c r="A184" s="993"/>
      <c r="B184" s="993"/>
      <c r="C184" s="993"/>
      <c r="D184" s="993"/>
      <c r="E184" s="993"/>
      <c r="F184" s="1642"/>
      <c r="G184" s="1642"/>
      <c r="H184" s="357"/>
      <c r="N184" s="1372"/>
      <c r="P184" s="1372"/>
      <c r="Q184" s="1642"/>
      <c r="R184" s="1642"/>
      <c r="S184" s="1372"/>
      <c r="T184" s="1372"/>
      <c r="U184" s="1372"/>
      <c r="V184" s="1372"/>
      <c r="W184" s="1642"/>
      <c r="X184" s="1372"/>
      <c r="Y184" s="1372"/>
      <c r="Z184" s="550"/>
      <c r="AA184" s="1372"/>
      <c r="AB184" s="1372"/>
      <c r="AC184" s="1372"/>
      <c r="AD184" s="1372"/>
      <c r="AE184" s="1372"/>
      <c r="AF184" s="1638"/>
      <c r="AG184" s="628"/>
      <c r="AH184" s="628"/>
      <c r="AI184" s="628"/>
      <c r="AJ184" s="628"/>
      <c r="AK184" s="1647">
        <v>11</v>
      </c>
    </row>
    <row s="1647" customFormat="1" customHeight="1" ht="11.549999999999999">
      <c r="A185" s="993"/>
      <c r="B185" s="993"/>
      <c r="C185" s="993"/>
      <c r="D185" s="993"/>
      <c r="E185" s="993"/>
      <c r="F185" s="1642"/>
      <c r="G185" s="1642"/>
      <c r="H185" s="357"/>
      <c r="N185" s="1372"/>
      <c r="P185" s="1372"/>
      <c r="Q185" s="1642"/>
      <c r="R185" s="1642"/>
      <c r="S185" s="1372"/>
      <c r="T185" s="1372"/>
      <c r="U185" s="1372"/>
      <c r="V185" s="1372"/>
      <c r="W185" s="1642"/>
      <c r="X185" s="1372"/>
      <c r="Y185" s="1372"/>
      <c r="Z185" s="550"/>
      <c r="AA185" s="1372"/>
      <c r="AB185" s="1372"/>
      <c r="AC185" s="1372"/>
      <c r="AD185" s="1372"/>
      <c r="AE185" s="1372"/>
      <c r="AF185" s="1638"/>
      <c r="AG185" s="628"/>
      <c r="AH185" s="628"/>
      <c r="AI185" s="628"/>
      <c r="AJ185" s="628"/>
      <c r="AK185" s="1647">
        <v>11</v>
      </c>
    </row>
    <row s="1647" customFormat="1" customHeight="1" ht="11.549999999999999">
      <c r="A186" s="993"/>
      <c r="B186" s="993"/>
      <c r="C186" s="993"/>
      <c r="D186" s="993"/>
      <c r="E186" s="993"/>
      <c r="F186" s="1642"/>
      <c r="G186" s="1642"/>
      <c r="H186" s="357"/>
      <c r="N186" s="1372"/>
      <c r="P186" s="1372"/>
      <c r="Q186" s="1642"/>
      <c r="R186" s="1642"/>
      <c r="S186" s="1372"/>
      <c r="T186" s="1372"/>
      <c r="U186" s="1372"/>
      <c r="V186" s="1372"/>
      <c r="W186" s="1642"/>
      <c r="X186" s="1372"/>
      <c r="Y186" s="1372"/>
      <c r="Z186" s="550"/>
      <c r="AA186" s="1372"/>
      <c r="AB186" s="1372"/>
      <c r="AC186" s="1372"/>
      <c r="AD186" s="1372"/>
      <c r="AE186" s="1372"/>
      <c r="AF186" s="1638"/>
      <c r="AG186" s="628"/>
      <c r="AH186" s="628"/>
      <c r="AI186" s="628"/>
      <c r="AJ186" s="628"/>
      <c r="AK186" s="1647">
        <v>11</v>
      </c>
    </row>
    <row s="1647" customFormat="1" customHeight="1" ht="11.549999999999999">
      <c r="A187" s="993"/>
      <c r="B187" s="993"/>
      <c r="C187" s="993"/>
      <c r="D187" s="993"/>
      <c r="E187" s="993"/>
      <c r="F187" s="1642"/>
      <c r="G187" s="1642"/>
      <c r="H187" s="357"/>
      <c r="N187" s="1372"/>
      <c r="P187" s="1372"/>
      <c r="Q187" s="1642"/>
      <c r="R187" s="1642"/>
      <c r="S187" s="1372"/>
      <c r="T187" s="1372"/>
      <c r="U187" s="1372"/>
      <c r="V187" s="1372"/>
      <c r="W187" s="1642"/>
      <c r="X187" s="1372"/>
      <c r="Y187" s="1372"/>
      <c r="Z187" s="550"/>
      <c r="AA187" s="1372"/>
      <c r="AB187" s="1372"/>
      <c r="AC187" s="1372"/>
      <c r="AD187" s="1372"/>
      <c r="AE187" s="1372"/>
      <c r="AF187" s="1638"/>
      <c r="AG187" s="628"/>
      <c r="AH187" s="628"/>
      <c r="AI187" s="628"/>
      <c r="AJ187" s="628"/>
      <c r="AK187" s="1647">
        <v>11</v>
      </c>
    </row>
    <row s="1647" customFormat="1" customHeight="1" ht="11.549999999999999">
      <c r="A188" s="993"/>
      <c r="B188" s="993"/>
      <c r="C188" s="993"/>
      <c r="D188" s="993"/>
      <c r="E188" s="993"/>
      <c r="F188" s="1642"/>
      <c r="G188" s="1642"/>
      <c r="H188" s="357"/>
      <c r="N188" s="1372"/>
      <c r="P188" s="1372"/>
      <c r="Q188" s="1642"/>
      <c r="R188" s="1642"/>
      <c r="S188" s="1372"/>
      <c r="T188" s="1372"/>
      <c r="U188" s="1372"/>
      <c r="V188" s="1372"/>
      <c r="W188" s="1642"/>
      <c r="X188" s="1372"/>
      <c r="Y188" s="1372"/>
      <c r="Z188" s="550"/>
      <c r="AA188" s="1372"/>
      <c r="AB188" s="1372"/>
      <c r="AC188" s="1372"/>
      <c r="AD188" s="1372"/>
      <c r="AE188" s="1372"/>
      <c r="AF188" s="1638"/>
      <c r="AG188" s="628"/>
      <c r="AH188" s="628"/>
      <c r="AI188" s="628"/>
      <c r="AJ188" s="628"/>
      <c r="AK188" s="1647">
        <v>11</v>
      </c>
    </row>
    <row s="1647" customFormat="1" customHeight="1" ht="11.549999999999999">
      <c r="A189" s="993"/>
      <c r="B189" s="993"/>
      <c r="C189" s="993"/>
      <c r="D189" s="993"/>
      <c r="E189" s="993"/>
      <c r="F189" s="1642"/>
      <c r="G189" s="1642"/>
      <c r="H189" s="357"/>
      <c r="N189" s="1372"/>
      <c r="P189" s="1372"/>
      <c r="Q189" s="1642"/>
      <c r="R189" s="1642"/>
      <c r="S189" s="1372"/>
      <c r="T189" s="1372"/>
      <c r="U189" s="1372"/>
      <c r="V189" s="1372"/>
      <c r="W189" s="1642"/>
      <c r="X189" s="1372"/>
      <c r="Y189" s="1372"/>
      <c r="Z189" s="550"/>
      <c r="AA189" s="1372"/>
      <c r="AB189" s="1372"/>
      <c r="AC189" s="1372"/>
      <c r="AD189" s="1372"/>
      <c r="AE189" s="1372"/>
      <c r="AF189" s="1638"/>
      <c r="AG189" s="628"/>
      <c r="AH189" s="628"/>
      <c r="AI189" s="628"/>
      <c r="AJ189" s="628"/>
      <c r="AK189" s="1647">
        <v>11</v>
      </c>
    </row>
    <row customHeight="1" ht="11.549999999999999">
      <c r="AK190" s="1637">
        <v>11</v>
      </c>
    </row>
    <row customHeight="1" ht="11.549999999999999">
      <c r="AK191" s="1637">
        <v>11</v>
      </c>
    </row>
    <row customHeight="1" ht="11.549999999999999">
      <c r="AK192" s="1637">
        <v>11</v>
      </c>
    </row>
    <row customHeight="1" ht="11.549999999999999">
      <c r="A193" s="996"/>
      <c r="B193" s="996"/>
      <c r="C193" s="996"/>
      <c r="D193" s="996"/>
      <c r="E193" s="996"/>
      <c r="F193" s="1637"/>
      <c r="H193" s="1637"/>
      <c r="N193" s="1637"/>
      <c r="P193" s="1637"/>
      <c r="S193" s="1637"/>
      <c r="T193" s="1637"/>
      <c r="U193" s="1637"/>
      <c r="V193" s="1637"/>
      <c r="X193" s="1637"/>
      <c r="Y193" s="1637"/>
      <c r="Z193" s="1637"/>
      <c r="AA193" s="1637"/>
      <c r="AB193" s="1637"/>
      <c r="AC193" s="1637"/>
      <c r="AD193" s="1637"/>
      <c r="AE193" s="1637"/>
      <c r="AF193" s="1637"/>
      <c r="AG193" s="1637"/>
      <c r="AH193" s="1637"/>
      <c r="AI193" s="1637"/>
      <c r="AJ193" s="1637"/>
      <c r="AK193" s="1637">
        <v>11</v>
      </c>
    </row>
    <row customHeight="1" ht="11.549999999999999">
      <c r="A194" s="996"/>
      <c r="B194" s="996"/>
      <c r="C194" s="996"/>
      <c r="D194" s="996"/>
      <c r="E194" s="996"/>
      <c r="F194" s="1637"/>
      <c r="H194" s="1637"/>
      <c r="N194" s="1637"/>
      <c r="P194" s="1637"/>
      <c r="S194" s="1637"/>
      <c r="T194" s="1637"/>
      <c r="U194" s="1637"/>
      <c r="V194" s="1637"/>
      <c r="X194" s="1637"/>
      <c r="Y194" s="1637"/>
      <c r="Z194" s="1637"/>
      <c r="AA194" s="1637"/>
      <c r="AB194" s="1637"/>
      <c r="AC194" s="1637"/>
      <c r="AD194" s="1637"/>
      <c r="AE194" s="1637"/>
      <c r="AF194" s="1637"/>
      <c r="AG194" s="1637"/>
      <c r="AH194" s="1637"/>
      <c r="AI194" s="1637"/>
      <c r="AJ194" s="1637"/>
      <c r="AK194" s="1637">
        <v>11</v>
      </c>
    </row>
    <row customHeight="1" ht="11.549999999999999">
      <c r="A195" s="996"/>
      <c r="B195" s="996"/>
      <c r="C195" s="996"/>
      <c r="D195" s="996"/>
      <c r="E195" s="996"/>
      <c r="F195" s="1637"/>
      <c r="H195" s="1637"/>
      <c r="N195" s="1637"/>
      <c r="P195" s="1637"/>
      <c r="S195" s="1637"/>
      <c r="T195" s="1637"/>
      <c r="U195" s="1637"/>
      <c r="V195" s="1637"/>
      <c r="X195" s="1637"/>
      <c r="Y195" s="1637"/>
      <c r="Z195" s="1637"/>
      <c r="AA195" s="1637"/>
      <c r="AB195" s="1637"/>
      <c r="AC195" s="1637"/>
      <c r="AD195" s="1637"/>
      <c r="AE195" s="1637"/>
      <c r="AF195" s="1637"/>
      <c r="AG195" s="1637"/>
      <c r="AH195" s="1637"/>
      <c r="AI195" s="1637"/>
      <c r="AJ195" s="1637"/>
      <c r="AK195" s="1637">
        <v>11</v>
      </c>
    </row>
    <row customHeight="1" ht="11.549999999999999">
      <c r="A196" s="996"/>
      <c r="B196" s="996"/>
      <c r="C196" s="996"/>
      <c r="D196" s="996"/>
      <c r="E196" s="996"/>
      <c r="F196" s="1637"/>
      <c r="H196" s="1637"/>
      <c r="N196" s="1637"/>
      <c r="P196" s="1637"/>
      <c r="S196" s="1637"/>
      <c r="T196" s="1637"/>
      <c r="U196" s="1637"/>
      <c r="V196" s="1637"/>
      <c r="X196" s="1637"/>
      <c r="Y196" s="1637"/>
      <c r="Z196" s="1637"/>
      <c r="AA196" s="1637"/>
      <c r="AB196" s="1637"/>
      <c r="AC196" s="1637"/>
      <c r="AD196" s="1637"/>
      <c r="AE196" s="1637"/>
      <c r="AF196" s="1637"/>
      <c r="AG196" s="1637"/>
      <c r="AH196" s="1637"/>
      <c r="AI196" s="1637"/>
      <c r="AJ196" s="1637"/>
      <c r="AK196" s="1637">
        <v>11</v>
      </c>
    </row>
    <row customHeight="1" ht="11.549999999999999">
      <c r="A197" s="996"/>
      <c r="B197" s="996"/>
      <c r="C197" s="996"/>
      <c r="D197" s="996"/>
      <c r="E197" s="996"/>
      <c r="F197" s="1637"/>
      <c r="H197" s="1637"/>
      <c r="N197" s="1637"/>
      <c r="P197" s="1637"/>
      <c r="S197" s="1637"/>
      <c r="T197" s="1637"/>
      <c r="U197" s="1637"/>
      <c r="V197" s="1637"/>
      <c r="X197" s="1637"/>
      <c r="Y197" s="1637"/>
      <c r="Z197" s="1637"/>
      <c r="AA197" s="1637"/>
      <c r="AB197" s="1637"/>
      <c r="AC197" s="1637"/>
      <c r="AD197" s="1637"/>
      <c r="AE197" s="1637"/>
      <c r="AF197" s="1637"/>
      <c r="AG197" s="1637"/>
      <c r="AH197" s="1637"/>
      <c r="AI197" s="1637"/>
      <c r="AJ197" s="1637"/>
      <c r="AK197" s="1637">
        <v>11</v>
      </c>
    </row>
    <row customHeight="1" ht="11.549999999999999">
      <c r="A198" s="996"/>
      <c r="B198" s="996"/>
      <c r="C198" s="996"/>
      <c r="D198" s="996"/>
      <c r="E198" s="996"/>
      <c r="F198" s="1637"/>
      <c r="H198" s="1637"/>
      <c r="N198" s="1637"/>
      <c r="P198" s="1637"/>
      <c r="S198" s="1637"/>
      <c r="T198" s="1637"/>
      <c r="U198" s="1637"/>
      <c r="V198" s="1637"/>
      <c r="X198" s="1637"/>
      <c r="Y198" s="1637"/>
      <c r="Z198" s="1637"/>
      <c r="AA198" s="1637"/>
      <c r="AB198" s="1637"/>
      <c r="AC198" s="1637"/>
      <c r="AD198" s="1637"/>
      <c r="AE198" s="1637"/>
      <c r="AF198" s="1637"/>
      <c r="AG198" s="1637"/>
      <c r="AH198" s="1637"/>
      <c r="AI198" s="1637"/>
      <c r="AJ198" s="1637"/>
      <c r="AK198" s="1637">
        <v>11</v>
      </c>
    </row>
    <row customHeight="1" ht="11.549999999999999">
      <c r="A199" s="996"/>
      <c r="B199" s="996"/>
      <c r="C199" s="996"/>
      <c r="D199" s="996"/>
      <c r="E199" s="996"/>
      <c r="F199" s="1637"/>
      <c r="H199" s="1637"/>
      <c r="N199" s="1637"/>
      <c r="P199" s="1637"/>
      <c r="S199" s="1637"/>
      <c r="T199" s="1637"/>
      <c r="U199" s="1637"/>
      <c r="V199" s="1637"/>
      <c r="X199" s="1637"/>
      <c r="Y199" s="1637"/>
      <c r="Z199" s="1637"/>
      <c r="AA199" s="1637"/>
      <c r="AB199" s="1637"/>
      <c r="AC199" s="1637"/>
      <c r="AD199" s="1637"/>
      <c r="AE199" s="1637"/>
      <c r="AF199" s="1637"/>
      <c r="AG199" s="1637"/>
      <c r="AH199" s="1637"/>
      <c r="AI199" s="1637"/>
      <c r="AJ199" s="1637"/>
      <c r="AK199" s="1637">
        <v>11</v>
      </c>
    </row>
    <row customHeight="1" ht="11.549999999999999">
      <c r="A200" s="996"/>
      <c r="B200" s="996"/>
      <c r="C200" s="996"/>
      <c r="D200" s="996"/>
      <c r="E200" s="996"/>
      <c r="F200" s="1637"/>
      <c r="H200" s="1637"/>
      <c r="N200" s="1637"/>
      <c r="P200" s="1637"/>
      <c r="S200" s="1637"/>
      <c r="T200" s="1637"/>
      <c r="U200" s="1637"/>
      <c r="V200" s="1637"/>
      <c r="X200" s="1637"/>
      <c r="Y200" s="1637"/>
      <c r="Z200" s="1637"/>
      <c r="AA200" s="1637"/>
      <c r="AB200" s="1637"/>
      <c r="AC200" s="1637"/>
      <c r="AD200" s="1637"/>
      <c r="AE200" s="1637"/>
      <c r="AF200" s="1637"/>
      <c r="AG200" s="1637"/>
      <c r="AH200" s="1637"/>
      <c r="AI200" s="1637"/>
      <c r="AJ200" s="1637"/>
      <c r="AK200" s="1637">
        <v>11</v>
      </c>
    </row>
    <row customHeight="1" ht="11.549999999999999">
      <c r="A201" s="996"/>
      <c r="B201" s="996"/>
      <c r="C201" s="996"/>
      <c r="D201" s="996"/>
      <c r="E201" s="996"/>
      <c r="F201" s="1637"/>
      <c r="H201" s="1637"/>
      <c r="N201" s="1637"/>
      <c r="P201" s="1637"/>
      <c r="S201" s="1637"/>
      <c r="T201" s="1637"/>
      <c r="U201" s="1637"/>
      <c r="V201" s="1637"/>
      <c r="X201" s="1637"/>
      <c r="Y201" s="1637"/>
      <c r="Z201" s="1637"/>
      <c r="AA201" s="1637"/>
      <c r="AB201" s="1637"/>
      <c r="AC201" s="1637"/>
      <c r="AD201" s="1637"/>
      <c r="AE201" s="1637"/>
      <c r="AF201" s="1637"/>
      <c r="AG201" s="1637"/>
      <c r="AH201" s="1637"/>
      <c r="AI201" s="1637"/>
      <c r="AJ201" s="1637"/>
      <c r="AK201" s="1637">
        <v>11</v>
      </c>
    </row>
    <row customHeight="1" ht="11.549999999999999">
      <c r="A202" s="996"/>
      <c r="B202" s="996"/>
      <c r="C202" s="996"/>
      <c r="D202" s="996"/>
      <c r="E202" s="996"/>
      <c r="F202" s="1637"/>
      <c r="H202" s="1637"/>
      <c r="N202" s="1637"/>
      <c r="P202" s="1637"/>
      <c r="S202" s="1637"/>
      <c r="T202" s="1637"/>
      <c r="U202" s="1637"/>
      <c r="V202" s="1637"/>
      <c r="X202" s="1637"/>
      <c r="Y202" s="1637"/>
      <c r="Z202" s="1637"/>
      <c r="AA202" s="1637"/>
      <c r="AB202" s="1637"/>
      <c r="AC202" s="1637"/>
      <c r="AD202" s="1637"/>
      <c r="AE202" s="1637"/>
      <c r="AF202" s="1637"/>
      <c r="AG202" s="1637"/>
      <c r="AH202" s="1637"/>
      <c r="AI202" s="1637"/>
      <c r="AJ202" s="1637"/>
      <c r="AK202" s="1637">
        <v>11</v>
      </c>
    </row>
    <row customHeight="1" ht="11.549999999999999">
      <c r="A203" s="996"/>
      <c r="B203" s="996"/>
      <c r="C203" s="996"/>
      <c r="D203" s="996"/>
      <c r="E203" s="996"/>
      <c r="F203" s="1637"/>
      <c r="H203" s="1637"/>
      <c r="N203" s="1637"/>
      <c r="P203" s="1637"/>
      <c r="S203" s="1637"/>
      <c r="T203" s="1637"/>
      <c r="U203" s="1637"/>
      <c r="V203" s="1637"/>
      <c r="X203" s="1637"/>
      <c r="Y203" s="1637"/>
      <c r="Z203" s="1637"/>
      <c r="AA203" s="1637"/>
      <c r="AB203" s="1637"/>
      <c r="AC203" s="1637"/>
      <c r="AD203" s="1637"/>
      <c r="AE203" s="1637"/>
      <c r="AF203" s="1637"/>
      <c r="AG203" s="1637"/>
      <c r="AH203" s="1637"/>
      <c r="AI203" s="1637"/>
      <c r="AJ203" s="1637"/>
      <c r="AK203" s="1637">
        <v>11</v>
      </c>
    </row>
    <row customHeight="1" ht="12.75" hidden="1">
      <c r="A204" s="993" t="s">
        <v>83</v>
      </c>
      <c r="B204" s="993" t="s">
        <v>151</v>
      </c>
      <c r="C204" s="993" t="s">
        <v>151</v>
      </c>
      <c r="D204" s="993" t="s">
        <v>151</v>
      </c>
      <c r="E204" s="993" t="s">
        <v>151</v>
      </c>
      <c r="F204" s="1641">
        <v>16</v>
      </c>
      <c r="G204" s="1642">
        <v>0</v>
      </c>
      <c r="H204" s="1641">
        <v>3</v>
      </c>
      <c r="I204" s="1637">
        <v>7</v>
      </c>
      <c r="J204" s="1637">
        <v>56</v>
      </c>
      <c r="K204" s="1637">
        <v>10</v>
      </c>
      <c r="L204" s="1637">
        <v>40</v>
      </c>
      <c r="M204" s="1637">
        <v>40</v>
      </c>
      <c r="N204" s="1372">
        <v>9</v>
      </c>
      <c r="O204" s="1637">
        <v>102</v>
      </c>
      <c r="P204" s="1372">
        <v>9</v>
      </c>
      <c r="Q204" s="1642">
        <v>5</v>
      </c>
      <c r="R204" s="1642">
        <v>3</v>
      </c>
      <c r="S204" s="1372">
        <v>3</v>
      </c>
      <c r="T204" s="1372">
        <v>3</v>
      </c>
      <c r="U204" s="1372">
        <v>3</v>
      </c>
      <c r="V204" s="1372">
        <v>3</v>
      </c>
      <c r="W204" s="1642">
        <v>10</v>
      </c>
      <c r="X204" s="1372">
        <v>34</v>
      </c>
      <c r="Y204" s="1372">
        <v>9</v>
      </c>
      <c r="Z204" s="550">
        <v>8</v>
      </c>
      <c r="AA204" s="1372">
        <v>8</v>
      </c>
      <c r="AB204" s="1372">
        <v>8</v>
      </c>
      <c r="AC204" s="1372">
        <v>8</v>
      </c>
      <c r="AD204" s="1372">
        <v>8</v>
      </c>
      <c r="AE204" s="1372">
        <v>8</v>
      </c>
      <c r="AF204" s="1638">
        <v>8</v>
      </c>
      <c r="AG204" s="1638">
        <v>8</v>
      </c>
      <c r="AH204" s="1638">
        <v>8</v>
      </c>
      <c r="AI204" s="1638">
        <v>8</v>
      </c>
      <c r="AJ204" s="1638">
        <v>8</v>
      </c>
      <c r="AK204" s="1637">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A037C4-92F9-BC13-60FF-315136A94C9C}"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41" width="10.57421875" hidden="1"/>
    <col min="5" max="5" style="2403" width="9.140625" hidden="1" customWidth="1"/>
    <col min="6" max="7" style="1372" width="9.140625" hidden="1" customWidth="1"/>
    <col min="8" max="8" style="350" width="3.00390625" customWidth="1"/>
    <col min="9" max="9" style="1641" width="6.00390625" customWidth="1"/>
    <col min="10" max="10" style="1641" width="63.00390625" customWidth="1"/>
    <col min="11" max="11" style="1641" width="9.00390625" customWidth="1"/>
    <col min="12" max="12" style="1641" width="39.00390625" customWidth="1"/>
    <col min="13" max="13" style="1641" width="89.00390625" customWidth="1"/>
    <col min="14" max="14" style="1641" width="10.00390625" customWidth="1"/>
    <col min="15" max="16" style="1630" width="10.00390625" customWidth="1"/>
    <col min="17" max="22" style="1641" width="10.00390625" customWidth="1"/>
    <col min="23" max="23" style="1641" width="10.57421875" hidden="1"/>
  </cols>
  <sheetData>
    <row customHeight="1" ht="22.5" hidden="1">
      <c r="S1" s="261"/>
      <c r="T1" s="261"/>
      <c r="V1" s="261"/>
      <c r="W1" s="1637" t="s">
        <v>14</v>
      </c>
    </row>
    <row customHeight="1" ht="22.5" hidden="1">
      <c r="B2" s="2059" t="s">
        <v>724</v>
      </c>
      <c r="C2" s="2059" t="s">
        <v>725</v>
      </c>
      <c r="D2" s="2058" t="s">
        <v>664</v>
      </c>
      <c r="E2" s="2064">
        <f>I2-3</f>
        <v>-3</v>
      </c>
      <c r="F2" s="2064">
        <f>J2</f>
        <v>0</v>
      </c>
      <c r="H2" s="1736" t="s">
        <v>253</v>
      </c>
      <c r="I2" s="2030"/>
      <c r="J2" s="1688"/>
      <c r="K2" s="2024" t="s">
        <v>322</v>
      </c>
      <c r="L2" s="1170"/>
      <c r="M2" s="303"/>
      <c r="N2" s="1630"/>
      <c r="P2" s="1637"/>
      <c r="W2" s="1637">
        <v>0</v>
      </c>
    </row>
    <row customHeight="1" ht="14.25" hidden="1">
      <c r="W3" s="1637">
        <v>0</v>
      </c>
    </row>
    <row customHeight="1" ht="6.3">
      <c r="H4" s="382"/>
      <c r="I4" s="463"/>
      <c r="J4" s="463"/>
      <c r="K4" s="463"/>
      <c r="L4" s="91"/>
      <c r="M4" s="91"/>
      <c r="W4" s="1637">
        <v>6</v>
      </c>
    </row>
    <row customHeight="1" ht="50.25">
      <c r="H5" s="382"/>
      <c r="I5" s="2254" t="s">
        <v>726</v>
      </c>
      <c r="J5" s="2254"/>
      <c r="K5" s="2254"/>
      <c r="L5" s="2254"/>
      <c r="M5" s="272"/>
      <c r="W5" s="1637">
        <v>48</v>
      </c>
    </row>
    <row customHeight="1" ht="18">
      <c r="H6" s="382"/>
      <c r="I6" s="2255" t="str">
        <f>IF(org=0,"Не определено",org)</f>
        <v>АО «ДГК» СП «Нерюнгринская ГРЭС»</v>
      </c>
      <c r="J6" s="2255"/>
      <c r="K6" s="2255"/>
      <c r="L6" s="2255"/>
      <c r="M6" s="272"/>
      <c r="W6" s="1637">
        <v>17</v>
      </c>
    </row>
    <row customHeight="1" ht="14.699999999999998">
      <c r="H7" s="382"/>
      <c r="I7" s="463"/>
      <c r="J7" s="469"/>
      <c r="K7" s="469"/>
      <c r="L7" s="758"/>
      <c r="M7" s="199"/>
      <c r="W7" s="1637">
        <v>14</v>
      </c>
    </row>
    <row customHeight="1" ht="14.699999999999998">
      <c r="H8" s="382"/>
      <c r="I8" s="2392" t="s">
        <v>316</v>
      </c>
      <c r="J8" s="2393"/>
      <c r="K8" s="2393"/>
      <c r="L8" s="2394"/>
      <c r="M8" s="2395" t="s">
        <v>317</v>
      </c>
      <c r="W8" s="1637">
        <v>14</v>
      </c>
    </row>
    <row customHeight="1" ht="35.699999999999996">
      <c r="E9" s="2057" t="s">
        <v>655</v>
      </c>
      <c r="F9" s="2057" t="s">
        <v>661</v>
      </c>
      <c r="H9" s="382"/>
      <c r="I9" s="2031" t="s">
        <v>89</v>
      </c>
      <c r="J9" s="2032" t="s">
        <v>318</v>
      </c>
      <c r="K9" s="2070" t="s">
        <v>603</v>
      </c>
      <c r="L9" s="2071" t="s">
        <v>319</v>
      </c>
      <c r="M9" s="2395"/>
      <c r="W9" s="1637">
        <v>34</v>
      </c>
    </row>
    <row customHeight="1" ht="35.699999999999996">
      <c r="B10" s="2059" t="s">
        <v>727</v>
      </c>
      <c r="C10" s="2059" t="s">
        <v>728</v>
      </c>
      <c r="D10" s="2058" t="s">
        <v>664</v>
      </c>
      <c r="E10" s="2062" t="s">
        <v>665</v>
      </c>
      <c r="F10" s="2062" t="s">
        <v>665</v>
      </c>
      <c r="H10" s="382"/>
      <c r="I10" s="2030" t="s">
        <v>111</v>
      </c>
      <c r="J10" s="1892" t="s">
        <v>729</v>
      </c>
      <c r="K10" s="2024" t="s">
        <v>322</v>
      </c>
      <c r="L10" s="824"/>
      <c r="M10" s="303" t="s">
        <v>730</v>
      </c>
      <c r="W10" s="1637">
        <v>34</v>
      </c>
    </row>
    <row customHeight="1" ht="50.25">
      <c r="B11" s="2059" t="s">
        <v>731</v>
      </c>
      <c r="C11" s="2059" t="s">
        <v>732</v>
      </c>
      <c r="D11" s="2058" t="s">
        <v>664</v>
      </c>
      <c r="E11" s="2062" t="s">
        <v>665</v>
      </c>
      <c r="F11" s="2062" t="s">
        <v>665</v>
      </c>
      <c r="H11" s="382"/>
      <c r="I11" s="2030" t="s">
        <v>112</v>
      </c>
      <c r="J11" s="1892" t="s">
        <v>733</v>
      </c>
      <c r="K11" s="2024" t="s">
        <v>322</v>
      </c>
      <c r="L11" s="824"/>
      <c r="M11" s="303" t="s">
        <v>730</v>
      </c>
      <c r="W11" s="1637">
        <v>48</v>
      </c>
    </row>
    <row customHeight="1" ht="48.29999999999999">
      <c r="B12" s="2059" t="s">
        <v>734</v>
      </c>
      <c r="C12" s="2059" t="s">
        <v>735</v>
      </c>
      <c r="D12" s="2058" t="s">
        <v>664</v>
      </c>
      <c r="E12" s="2062" t="s">
        <v>665</v>
      </c>
      <c r="F12" s="2062" t="s">
        <v>665</v>
      </c>
      <c r="H12" s="1694"/>
      <c r="I12" s="2030" t="s">
        <v>91</v>
      </c>
      <c r="J12" s="2037" t="s">
        <v>736</v>
      </c>
      <c r="K12" s="2024" t="s">
        <v>322</v>
      </c>
      <c r="L12" s="824"/>
      <c r="M12" s="303" t="s">
        <v>737</v>
      </c>
      <c r="N12" s="1630"/>
      <c r="P12" s="1637"/>
      <c r="W12" s="1637">
        <v>46</v>
      </c>
    </row>
    <row customHeight="1" ht="14.699999999999998">
      <c r="E13" s="349"/>
      <c r="H13" s="382"/>
      <c r="I13" s="353"/>
      <c r="J13" s="657" t="s">
        <v>738</v>
      </c>
      <c r="K13" s="577"/>
      <c r="L13" s="220"/>
      <c r="M13" s="303"/>
      <c r="W13" s="1637">
        <v>14</v>
      </c>
    </row>
    <row customHeight="1" ht="14.699999999999998">
      <c r="E14" s="349"/>
      <c r="H14" s="382"/>
      <c r="I14" s="1063"/>
      <c r="J14" s="1683"/>
      <c r="K14" s="1684"/>
      <c r="L14" s="1685"/>
      <c r="M14" s="2034"/>
      <c r="W14" s="1637">
        <v>14</v>
      </c>
    </row>
    <row customHeight="1" ht="14.699999999999998">
      <c r="I15" s="1687"/>
      <c r="J15" s="2391"/>
      <c r="K15" s="2391"/>
      <c r="L15" s="2391"/>
      <c r="M15" s="2391"/>
      <c r="W15" s="1637">
        <v>14</v>
      </c>
    </row>
    <row customHeight="1" ht="21" hidden="1">
      <c r="A16" s="2036" t="s">
        <v>83</v>
      </c>
      <c r="B16" s="1637">
        <v>9</v>
      </c>
      <c r="C16" s="1637">
        <v>9</v>
      </c>
      <c r="D16" s="1637">
        <v>9</v>
      </c>
      <c r="E16" s="2036" t="s">
        <v>150</v>
      </c>
      <c r="F16" s="2061" t="s">
        <v>150</v>
      </c>
      <c r="G16" s="2063"/>
      <c r="H16" s="350">
        <v>3</v>
      </c>
      <c r="I16" s="1637">
        <v>6</v>
      </c>
      <c r="J16" s="1637">
        <v>63</v>
      </c>
      <c r="K16" s="1637">
        <v>9</v>
      </c>
      <c r="L16" s="1637">
        <v>39</v>
      </c>
      <c r="M16" s="1637">
        <v>89</v>
      </c>
      <c r="N16" s="1637">
        <v>10</v>
      </c>
      <c r="O16" s="1630">
        <v>10</v>
      </c>
      <c r="P16" s="1630">
        <v>10</v>
      </c>
      <c r="Q16" s="1637">
        <v>10</v>
      </c>
      <c r="R16" s="1637">
        <v>10</v>
      </c>
      <c r="S16" s="1637">
        <v>10</v>
      </c>
      <c r="T16" s="1637">
        <v>10</v>
      </c>
      <c r="U16" s="1637">
        <v>10</v>
      </c>
      <c r="V16" s="1637">
        <v>10</v>
      </c>
      <c r="W16" s="1637">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F34666-D169-A146-DFC8-.42136EA5745}"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6.00390625" customWidth="1"/>
    <col min="7" max="7" style="1641" width="10.00390625" customWidth="1"/>
    <col min="8" max="8" style="1641" width="40.7109375" hidden="1" customWidth="1"/>
    <col min="9" max="9" style="1641" width="40.00390625" customWidth="1"/>
    <col min="10" max="10" style="1641" width="102.00390625" customWidth="1"/>
    <col min="11" max="11" style="1372" width="9.00390625" customWidth="1"/>
    <col min="12" max="12" style="1648" width="5.00390625" customWidth="1"/>
    <col min="13" max="13" style="1648" width="3.00390625" customWidth="1"/>
    <col min="14" max="17" style="1372" width="3.00390625" customWidth="1"/>
    <col min="18" max="18" style="1648" width="10.00390625" customWidth="1"/>
    <col min="19" max="19" style="1372" width="34.00390625" customWidth="1"/>
    <col min="20" max="20" style="1372" width="9.00390625" customWidth="1"/>
    <col min="21" max="21" style="742" width="8.00390625" customWidth="1"/>
    <col min="22" max="26" style="1372" width="8.00390625" customWidth="1"/>
    <col min="27" max="31" style="1638" width="8.00390625" customWidth="1"/>
    <col min="32" max="32" style="1641" width="10.421875" hidden="1" customWidth="1"/>
  </cols>
  <sheetData>
    <row s="1372" customFormat="1" customHeight="1" ht="22.5" hidden="1">
      <c r="A1" s="993"/>
      <c r="C1" s="1642"/>
      <c r="D1" s="543"/>
      <c r="H1" s="1166">
        <v>4</v>
      </c>
      <c r="I1" s="1166">
        <v>4</v>
      </c>
      <c r="L1" s="1642"/>
      <c r="M1" s="1642"/>
      <c r="R1" s="1642"/>
      <c r="AF1" s="1166" t="s">
        <v>14</v>
      </c>
    </row>
    <row s="1372" customFormat="1" customHeight="1" ht="22.5" hidden="1">
      <c r="A2" s="993"/>
      <c r="C2" s="1642"/>
      <c r="D2" s="544"/>
      <c r="E2" s="1643"/>
      <c r="F2" s="546"/>
      <c r="G2" s="1645" t="s">
        <v>589</v>
      </c>
      <c r="H2" s="547"/>
      <c r="I2" s="547"/>
      <c r="J2" s="548" t="s">
        <v>739</v>
      </c>
      <c r="K2" s="549"/>
      <c r="L2" s="1642"/>
      <c r="M2" s="1642"/>
      <c r="R2" s="1642"/>
      <c r="U2" s="550"/>
      <c r="AA2" s="1638"/>
      <c r="AB2" s="1638"/>
      <c r="AC2" s="1638"/>
      <c r="AD2" s="1638"/>
      <c r="AE2" s="1638"/>
      <c r="AF2" s="1166">
        <v>0</v>
      </c>
    </row>
    <row customHeight="1" ht="11.25" hidden="1">
      <c r="AF3" s="1637">
        <v>0</v>
      </c>
    </row>
    <row s="1638" customFormat="1" customHeight="1" ht="11.25" hidden="1">
      <c r="A4" s="993"/>
      <c r="B4" s="1166"/>
      <c r="C4" s="1642"/>
      <c r="D4" s="368"/>
      <c r="J4" s="1638">
        <v>4</v>
      </c>
      <c r="K4" s="1166"/>
      <c r="L4" s="1642"/>
      <c r="M4" s="1642"/>
      <c r="N4" s="1166"/>
      <c r="O4" s="1166"/>
      <c r="P4" s="1166"/>
      <c r="Q4" s="1166"/>
      <c r="R4" s="1642"/>
      <c r="S4" s="1166"/>
      <c r="T4" s="1166"/>
      <c r="U4" s="550"/>
      <c r="V4" s="1166"/>
      <c r="W4" s="1166"/>
      <c r="X4" s="1166"/>
      <c r="Y4" s="1166"/>
      <c r="Z4" s="1166"/>
      <c r="AF4" s="1638">
        <v>0</v>
      </c>
    </row>
    <row customHeight="1" ht="11.549999999999999">
      <c r="AF5" s="1637">
        <v>11</v>
      </c>
    </row>
    <row customHeight="1" ht="31.5">
      <c r="E6" s="2313" t="s">
        <v>740</v>
      </c>
      <c r="F6" s="2313"/>
      <c r="G6" s="2313"/>
      <c r="H6" s="2313"/>
      <c r="I6" s="2313"/>
      <c r="J6" s="562"/>
      <c r="AF6" s="1637">
        <v>30</v>
      </c>
    </row>
    <row customHeight="1" ht="11.549999999999999">
      <c r="E7" s="2255" t="str">
        <f>IF(org=0,"Не определено",org)</f>
        <v>АО «ДГК» СП «Нерюнгринская ГРЭС»</v>
      </c>
      <c r="F7" s="2255"/>
      <c r="G7" s="2255"/>
      <c r="H7" s="2255"/>
      <c r="I7" s="2255"/>
      <c r="AF7" s="1637">
        <v>11</v>
      </c>
    </row>
    <row customHeight="1" ht="11.549999999999999">
      <c r="E8" s="1141"/>
      <c r="F8" s="1141"/>
      <c r="G8" s="1141"/>
      <c r="H8" s="1141"/>
      <c r="I8" s="1141"/>
      <c r="AF8" s="1637">
        <v>11</v>
      </c>
    </row>
    <row s="1648" customFormat="1" customHeight="1" ht="4.2">
      <c r="A9" s="1173"/>
      <c r="D9" s="1648"/>
      <c r="H9" s="895"/>
      <c r="I9" s="895" t="s">
        <v>119</v>
      </c>
      <c r="AF9" s="1642">
        <v>4</v>
      </c>
    </row>
    <row customHeight="1" ht="11.549999999999999">
      <c r="E10" s="717"/>
      <c r="F10" s="2373" t="s">
        <v>107</v>
      </c>
      <c r="G10" s="2374"/>
      <c r="H10" s="1558" t="str">
        <f>IF(H9="","",INDEX(DIFFERENTIATION_UNMERGE_VD,MATCH(H9,DIFFERENTIATION_ID_DIFF,0)))</f>
        <v/>
      </c>
      <c r="I10" s="1558">
        <f>IF(I9="","",INDEX(DIFFERENTIATION_UNMERGE_VD,MATCH(I9,DIFFERENTIATION_ID_DIFF,0)))</f>
        <v>0</v>
      </c>
      <c r="J10" s="2133"/>
      <c r="AF10" s="1637">
        <v>11</v>
      </c>
    </row>
    <row customHeight="1" ht="11.549999999999999">
      <c r="E11" s="717"/>
      <c r="F11" s="2373" t="s">
        <v>601</v>
      </c>
      <c r="G11" s="2374"/>
      <c r="H11" s="1558" t="str">
        <f>IF(H9="","",INDEX(DIFFERENTIATION_UNMERGE_AREA,MATCH(H9,DIFFERENTIATION_ID_DIFF,0)))</f>
        <v/>
      </c>
      <c r="I11" s="1558" t="str">
        <f>IF(I9="","",INDEX(DIFFERENTIATION_UNMERGE_AREA,MATCH(I9,DIFFERENTIATION_ID_DIFF,0)))</f>
        <v/>
      </c>
      <c r="J11" s="2133"/>
      <c r="AF11" s="1637">
        <v>11</v>
      </c>
    </row>
    <row customHeight="1" ht="1.05">
      <c r="E12" s="1668"/>
      <c r="F12" s="2396" t="s">
        <v>602</v>
      </c>
      <c r="G12" s="2397"/>
      <c r="H12" s="1669" t="str">
        <f>IF(H9="","",INDEX(DIFFERENTIATION_UNMERGE_SYSTEM,MATCH(H9,DIFFERENTIATION_ID_DIFF,0)))</f>
        <v/>
      </c>
      <c r="I12" s="1669" t="str">
        <f>IF(I9="","",INDEX(DIFFERENTIATION_UNMERGE_SYSTEM,MATCH(I9,DIFFERENTIATION_ID_DIFF,0)))</f>
        <v>без дифференциации</v>
      </c>
      <c r="J12" s="2133"/>
      <c r="AF12" s="1637">
        <v>1</v>
      </c>
    </row>
    <row customHeight="1" ht="11.549999999999999">
      <c r="E13" s="2375" t="s">
        <v>316</v>
      </c>
      <c r="F13" s="2376"/>
      <c r="G13" s="2376"/>
      <c r="H13" s="1557"/>
      <c r="I13" s="1557"/>
      <c r="J13" s="2133"/>
      <c r="AF13" s="1637">
        <v>11</v>
      </c>
    </row>
    <row customHeight="1" ht="24">
      <c r="E14" s="1645" t="s">
        <v>89</v>
      </c>
      <c r="F14" s="1640" t="s">
        <v>318</v>
      </c>
      <c r="G14" s="1640" t="s">
        <v>603</v>
      </c>
      <c r="H14" s="1640" t="s">
        <v>319</v>
      </c>
      <c r="I14" s="1640" t="s">
        <v>319</v>
      </c>
      <c r="J14" s="2133"/>
      <c r="AF14" s="1637">
        <v>23</v>
      </c>
    </row>
    <row customHeight="1" ht="19.95">
      <c r="D15" s="1644"/>
      <c r="E15" s="1636" t="s">
        <v>111</v>
      </c>
      <c r="F15" s="713" t="s">
        <v>741</v>
      </c>
      <c r="G15" s="1652" t="s">
        <v>589</v>
      </c>
      <c r="H15" s="563"/>
      <c r="I15" s="563"/>
      <c r="J15" s="295" t="s">
        <v>742</v>
      </c>
      <c r="K15" s="549" t="s">
        <v>667</v>
      </c>
      <c r="AF15" s="1637">
        <v>19</v>
      </c>
    </row>
    <row customHeight="1" ht="35.699999999999996">
      <c r="D16" s="1644"/>
      <c r="E16" s="1636" t="s">
        <v>112</v>
      </c>
      <c r="F16" s="713" t="s">
        <v>743</v>
      </c>
      <c r="G16" s="1652" t="s">
        <v>589</v>
      </c>
      <c r="H16" s="564">
        <f>SUM(H17,H20:H32)</f>
        <v>0</v>
      </c>
      <c r="I16" s="564">
        <f>SUM(I17,I20,I23,I26,I29:I32)</f>
        <v>0</v>
      </c>
      <c r="J16" s="295" t="s">
        <v>744</v>
      </c>
      <c r="K16" s="549" t="s">
        <v>667</v>
      </c>
      <c r="AF16" s="1637">
        <v>34</v>
      </c>
    </row>
    <row customHeight="1" ht="19.95">
      <c r="D17" s="1644"/>
      <c r="E17" s="1670" t="s">
        <v>745</v>
      </c>
      <c r="F17" s="960" t="s">
        <v>746</v>
      </c>
      <c r="G17" s="1649" t="s">
        <v>589</v>
      </c>
      <c r="H17" s="563"/>
      <c r="I17" s="563"/>
      <c r="J17" s="295" t="s">
        <v>747</v>
      </c>
      <c r="K17" s="549"/>
      <c r="AF17" s="1637">
        <v>19</v>
      </c>
    </row>
    <row customHeight="1" ht="24">
      <c r="D18" s="1644"/>
      <c r="E18" s="1670" t="s">
        <v>748</v>
      </c>
      <c r="F18" s="1656" t="s">
        <v>749</v>
      </c>
      <c r="G18" s="1649" t="s">
        <v>589</v>
      </c>
      <c r="H18" s="563"/>
      <c r="I18" s="563"/>
      <c r="J18" s="295" t="s">
        <v>750</v>
      </c>
      <c r="K18" s="549"/>
      <c r="AF18" s="1637">
        <v>23</v>
      </c>
    </row>
    <row customHeight="1" ht="35.699999999999996">
      <c r="D19" s="1644"/>
      <c r="E19" s="1670" t="s">
        <v>751</v>
      </c>
      <c r="F19" s="1656" t="s">
        <v>752</v>
      </c>
      <c r="G19" s="1649" t="s">
        <v>589</v>
      </c>
      <c r="H19" s="563"/>
      <c r="I19" s="563"/>
      <c r="J19" s="295"/>
      <c r="K19" s="549"/>
      <c r="AF19" s="1637">
        <v>34</v>
      </c>
    </row>
    <row customHeight="1" ht="19.95">
      <c r="D20" s="1644"/>
      <c r="E20" s="1670" t="s">
        <v>323</v>
      </c>
      <c r="F20" s="960" t="s">
        <v>753</v>
      </c>
      <c r="G20" s="1649" t="s">
        <v>589</v>
      </c>
      <c r="H20" s="563"/>
      <c r="I20" s="563"/>
      <c r="J20" s="295" t="s">
        <v>754</v>
      </c>
      <c r="K20" s="549"/>
      <c r="AF20" s="1637">
        <v>19</v>
      </c>
    </row>
    <row customHeight="1" ht="19.95">
      <c r="D21" s="1644"/>
      <c r="E21" s="1670" t="s">
        <v>755</v>
      </c>
      <c r="F21" s="1656" t="s">
        <v>756</v>
      </c>
      <c r="G21" s="1649" t="s">
        <v>589</v>
      </c>
      <c r="H21" s="563"/>
      <c r="I21" s="563"/>
      <c r="J21" s="295"/>
      <c r="K21" s="549"/>
      <c r="AF21" s="1637">
        <v>19</v>
      </c>
    </row>
    <row customHeight="1" ht="19.95">
      <c r="D22" s="1644"/>
      <c r="E22" s="1670" t="s">
        <v>757</v>
      </c>
      <c r="F22" s="1656" t="s">
        <v>758</v>
      </c>
      <c r="G22" s="1649" t="s">
        <v>589</v>
      </c>
      <c r="H22" s="563"/>
      <c r="I22" s="563"/>
      <c r="J22" s="295"/>
      <c r="K22" s="549"/>
      <c r="AF22" s="1637">
        <v>19</v>
      </c>
    </row>
    <row customHeight="1" ht="24">
      <c r="D23" s="1644"/>
      <c r="E23" s="1670" t="s">
        <v>326</v>
      </c>
      <c r="F23" s="960" t="s">
        <v>759</v>
      </c>
      <c r="G23" s="1649" t="s">
        <v>589</v>
      </c>
      <c r="H23" s="563"/>
      <c r="I23" s="563"/>
      <c r="J23" s="295" t="s">
        <v>760</v>
      </c>
      <c r="K23" s="549"/>
      <c r="AF23" s="1637">
        <v>23</v>
      </c>
    </row>
    <row customHeight="1" ht="19.95">
      <c r="D24" s="1644"/>
      <c r="E24" s="1670" t="s">
        <v>761</v>
      </c>
      <c r="F24" s="1656" t="s">
        <v>762</v>
      </c>
      <c r="G24" s="1649" t="s">
        <v>589</v>
      </c>
      <c r="H24" s="563"/>
      <c r="I24" s="563"/>
      <c r="J24" s="295"/>
      <c r="K24" s="549"/>
      <c r="AF24" s="1637">
        <v>19</v>
      </c>
    </row>
    <row customHeight="1" ht="35.699999999999996">
      <c r="D25" s="1644"/>
      <c r="E25" s="1670" t="s">
        <v>763</v>
      </c>
      <c r="F25" s="1656" t="s">
        <v>764</v>
      </c>
      <c r="G25" s="1649" t="s">
        <v>589</v>
      </c>
      <c r="H25" s="563"/>
      <c r="I25" s="563"/>
      <c r="J25" s="295"/>
      <c r="K25" s="549"/>
      <c r="AF25" s="1637">
        <v>34</v>
      </c>
    </row>
    <row customHeight="1" ht="24">
      <c r="D26" s="1644"/>
      <c r="E26" s="1670" t="s">
        <v>765</v>
      </c>
      <c r="F26" s="960" t="s">
        <v>766</v>
      </c>
      <c r="G26" s="1649" t="s">
        <v>589</v>
      </c>
      <c r="H26" s="563"/>
      <c r="I26" s="563"/>
      <c r="J26" s="295" t="s">
        <v>767</v>
      </c>
      <c r="K26" s="549"/>
      <c r="AF26" s="1637">
        <v>23</v>
      </c>
    </row>
    <row customHeight="1" ht="19.95">
      <c r="D27" s="1644"/>
      <c r="E27" s="1681" t="s">
        <v>768</v>
      </c>
      <c r="F27" s="1656" t="s">
        <v>769</v>
      </c>
      <c r="G27" s="1660" t="s">
        <v>589</v>
      </c>
      <c r="H27" s="1682"/>
      <c r="I27" s="1682"/>
      <c r="J27" s="295"/>
      <c r="K27" s="549"/>
      <c r="AF27" s="1637">
        <v>19</v>
      </c>
    </row>
    <row customHeight="1" ht="19.95">
      <c r="D28" s="1644"/>
      <c r="E28" s="1681" t="s">
        <v>770</v>
      </c>
      <c r="F28" s="1656" t="s">
        <v>771</v>
      </c>
      <c r="G28" s="1660" t="s">
        <v>589</v>
      </c>
      <c r="H28" s="1682"/>
      <c r="I28" s="1682"/>
      <c r="J28" s="295"/>
      <c r="K28" s="549"/>
      <c r="AF28" s="1637">
        <v>19</v>
      </c>
    </row>
    <row customHeight="1" ht="19.95">
      <c r="D29" s="1644"/>
      <c r="E29" s="1681" t="s">
        <v>772</v>
      </c>
      <c r="F29" s="960" t="s">
        <v>773</v>
      </c>
      <c r="G29" s="1660" t="s">
        <v>589</v>
      </c>
      <c r="H29" s="1682"/>
      <c r="I29" s="1682"/>
      <c r="J29" s="295"/>
      <c r="K29" s="549"/>
      <c r="AF29" s="1637">
        <v>19</v>
      </c>
    </row>
    <row customHeight="1" ht="19.95">
      <c r="D30" s="1644"/>
      <c r="E30" s="1681" t="s">
        <v>774</v>
      </c>
      <c r="F30" s="960" t="s">
        <v>775</v>
      </c>
      <c r="G30" s="1660" t="s">
        <v>589</v>
      </c>
      <c r="H30" s="1682"/>
      <c r="I30" s="1682"/>
      <c r="J30" s="295"/>
      <c r="K30" s="549"/>
      <c r="AF30" s="1637">
        <v>19</v>
      </c>
    </row>
    <row customHeight="1" ht="19.95">
      <c r="D31" s="1644"/>
      <c r="E31" s="1681" t="s">
        <v>776</v>
      </c>
      <c r="F31" s="960" t="s">
        <v>777</v>
      </c>
      <c r="G31" s="1660" t="s">
        <v>589</v>
      </c>
      <c r="H31" s="1682"/>
      <c r="I31" s="1682"/>
      <c r="J31" s="295"/>
      <c r="K31" s="549"/>
      <c r="AF31" s="1637">
        <v>19</v>
      </c>
    </row>
    <row s="1372" customFormat="1" customHeight="1" ht="35.699999999999996">
      <c r="A32" s="993"/>
      <c r="C32" s="1642"/>
      <c r="D32" s="1644"/>
      <c r="E32" s="1681" t="s">
        <v>778</v>
      </c>
      <c r="F32" s="960" t="s">
        <v>779</v>
      </c>
      <c r="G32" s="1650" t="s">
        <v>589</v>
      </c>
      <c r="H32" s="585">
        <f>SUM(H33:H34)</f>
        <v>0</v>
      </c>
      <c r="I32" s="585">
        <f>SUM(I33:I34)</f>
        <v>0</v>
      </c>
      <c r="J32" s="295" t="s">
        <v>780</v>
      </c>
      <c r="K32" s="549"/>
      <c r="L32" s="1642"/>
      <c r="M32" s="1642"/>
      <c r="R32" s="1642"/>
      <c r="U32" s="550"/>
      <c r="AA32" s="1638"/>
      <c r="AB32" s="1638"/>
      <c r="AC32" s="1638"/>
      <c r="AD32" s="1638"/>
      <c r="AE32" s="1638"/>
      <c r="AF32" s="1166">
        <v>34</v>
      </c>
    </row>
    <row s="1648" customFormat="1" customHeight="1" ht="1.05">
      <c r="A33" s="1173"/>
      <c r="D33" s="554"/>
      <c r="E33" s="808" t="str">
        <f>E32&amp;".0"</f>
        <v>2.8.0</v>
      </c>
      <c r="F33" s="997"/>
      <c r="G33" s="557"/>
      <c r="H33" s="998"/>
      <c r="I33" s="998"/>
      <c r="J33" s="999"/>
      <c r="AF33" s="1642">
        <v>1</v>
      </c>
    </row>
    <row s="1372" customFormat="1" customHeight="1" ht="19.95">
      <c r="A34" s="993"/>
      <c r="C34" s="1642"/>
      <c r="D34" s="1639"/>
      <c r="E34" s="576"/>
      <c r="F34" s="1672" t="s">
        <v>614</v>
      </c>
      <c r="G34" s="578"/>
      <c r="H34" s="579"/>
      <c r="I34" s="579"/>
      <c r="J34" s="307" t="s">
        <v>781</v>
      </c>
      <c r="K34" s="549"/>
      <c r="L34" s="1642"/>
      <c r="M34" s="1642"/>
      <c r="R34" s="1642"/>
      <c r="U34" s="550"/>
      <c r="AA34" s="1638"/>
      <c r="AB34" s="1638"/>
      <c r="AC34" s="1638"/>
      <c r="AD34" s="1638"/>
      <c r="AE34" s="1638"/>
      <c r="AF34" s="1166">
        <v>19</v>
      </c>
    </row>
    <row customHeight="1" ht="60">
      <c r="D35" s="1644"/>
      <c r="E35" s="1681" t="s">
        <v>782</v>
      </c>
      <c r="F35" s="960" t="s">
        <v>783</v>
      </c>
      <c r="G35" s="1660" t="s">
        <v>589</v>
      </c>
      <c r="H35" s="1682"/>
      <c r="I35" s="1682"/>
      <c r="J35" s="295" t="s">
        <v>784</v>
      </c>
      <c r="K35" s="549"/>
      <c r="AF35" s="1637">
        <v>57</v>
      </c>
    </row>
    <row s="1372" customFormat="1" customHeight="1" ht="24">
      <c r="A36" s="995" t="s">
        <v>615</v>
      </c>
      <c r="C36" s="1642"/>
      <c r="D36" s="1644"/>
      <c r="E36" s="1670" t="s">
        <v>91</v>
      </c>
      <c r="F36" s="713" t="s">
        <v>785</v>
      </c>
      <c r="G36" s="1649" t="s">
        <v>589</v>
      </c>
      <c r="H36" s="563"/>
      <c r="I36" s="563"/>
      <c r="J36" s="295" t="s">
        <v>786</v>
      </c>
      <c r="K36" s="549"/>
      <c r="L36" s="1642"/>
      <c r="M36" s="1642"/>
      <c r="R36" s="1642"/>
      <c r="U36" s="550"/>
      <c r="AA36" s="1638"/>
      <c r="AB36" s="1638"/>
      <c r="AC36" s="1638"/>
      <c r="AD36" s="1638"/>
      <c r="AE36" s="1638"/>
      <c r="AF36" s="1166">
        <v>23</v>
      </c>
    </row>
    <row s="1372" customFormat="1" customHeight="1" ht="35.699999999999996">
      <c r="A37" s="995"/>
      <c r="C37" s="1642"/>
      <c r="D37" s="1644"/>
      <c r="E37" s="1670" t="s">
        <v>340</v>
      </c>
      <c r="F37" s="960" t="s">
        <v>787</v>
      </c>
      <c r="G37" s="1660"/>
      <c r="H37" s="563"/>
      <c r="I37" s="563"/>
      <c r="J37" s="295"/>
      <c r="K37" s="549"/>
      <c r="L37" s="1642"/>
      <c r="M37" s="1642"/>
      <c r="R37" s="1642"/>
      <c r="U37" s="550"/>
      <c r="AA37" s="1638"/>
      <c r="AB37" s="1638"/>
      <c r="AC37" s="1638"/>
      <c r="AD37" s="1638"/>
      <c r="AE37" s="1638"/>
      <c r="AF37" s="1166">
        <v>34</v>
      </c>
    </row>
    <row s="1372" customFormat="1" customHeight="1" ht="19.95">
      <c r="A38" s="993"/>
      <c r="C38" s="1642"/>
      <c r="D38" s="581"/>
      <c r="E38" s="1670" t="s">
        <v>92</v>
      </c>
      <c r="F38" s="713" t="s">
        <v>788</v>
      </c>
      <c r="G38" s="1649" t="s">
        <v>589</v>
      </c>
      <c r="H38" s="563"/>
      <c r="I38" s="563"/>
      <c r="J38" s="295" t="s">
        <v>789</v>
      </c>
      <c r="K38" s="549"/>
      <c r="L38" s="1642"/>
      <c r="M38" s="1642"/>
      <c r="R38" s="1642"/>
      <c r="U38" s="550"/>
      <c r="AA38" s="1638"/>
      <c r="AB38" s="1638"/>
      <c r="AC38" s="1638"/>
      <c r="AD38" s="1638"/>
      <c r="AE38" s="1638"/>
      <c r="AF38" s="1166">
        <v>19</v>
      </c>
    </row>
    <row s="1372" customFormat="1" customHeight="1" ht="24">
      <c r="A39" s="993"/>
      <c r="C39" s="1642"/>
      <c r="D39" s="581"/>
      <c r="E39" s="1670" t="s">
        <v>790</v>
      </c>
      <c r="F39" s="960" t="s">
        <v>791</v>
      </c>
      <c r="G39" s="1660" t="s">
        <v>589</v>
      </c>
      <c r="H39" s="563"/>
      <c r="I39" s="563"/>
      <c r="J39" s="295" t="s">
        <v>792</v>
      </c>
      <c r="K39" s="549"/>
      <c r="L39" s="1642"/>
      <c r="M39" s="1642"/>
      <c r="R39" s="1642"/>
      <c r="U39" s="550"/>
      <c r="AA39" s="1638"/>
      <c r="AB39" s="1638"/>
      <c r="AC39" s="1638"/>
      <c r="AD39" s="1638"/>
      <c r="AE39" s="1638"/>
      <c r="AF39" s="1166">
        <v>23</v>
      </c>
    </row>
    <row s="1372" customFormat="1" customHeight="1" ht="24">
      <c r="A40" s="993"/>
      <c r="C40" s="1642"/>
      <c r="D40" s="1644"/>
      <c r="E40" s="1670" t="s">
        <v>793</v>
      </c>
      <c r="F40" s="1656" t="s">
        <v>794</v>
      </c>
      <c r="G40" s="1649" t="s">
        <v>589</v>
      </c>
      <c r="H40" s="563"/>
      <c r="I40" s="563"/>
      <c r="J40" s="295" t="s">
        <v>795</v>
      </c>
      <c r="K40" s="549"/>
      <c r="L40" s="1642"/>
      <c r="M40" s="1642"/>
      <c r="R40" s="1642"/>
      <c r="U40" s="550"/>
      <c r="AA40" s="1638"/>
      <c r="AB40" s="1638"/>
      <c r="AC40" s="1638"/>
      <c r="AD40" s="1638"/>
      <c r="AE40" s="1638"/>
      <c r="AF40" s="1166">
        <v>23</v>
      </c>
    </row>
    <row s="1372" customFormat="1" customHeight="1" ht="24">
      <c r="A41" s="993"/>
      <c r="C41" s="1642"/>
      <c r="D41" s="1644"/>
      <c r="E41" s="1670" t="s">
        <v>796</v>
      </c>
      <c r="F41" s="1656" t="s">
        <v>797</v>
      </c>
      <c r="G41" s="1649" t="s">
        <v>589</v>
      </c>
      <c r="H41" s="563"/>
      <c r="I41" s="563"/>
      <c r="J41" s="295" t="s">
        <v>798</v>
      </c>
      <c r="K41" s="549"/>
      <c r="L41" s="1642"/>
      <c r="M41" s="1642"/>
      <c r="R41" s="1642"/>
      <c r="U41" s="550"/>
      <c r="AA41" s="1638"/>
      <c r="AB41" s="1638"/>
      <c r="AC41" s="1638"/>
      <c r="AD41" s="1638"/>
      <c r="AE41" s="1638"/>
      <c r="AF41" s="1166">
        <v>23</v>
      </c>
    </row>
    <row s="1372" customFormat="1" customHeight="1" ht="24">
      <c r="A42" s="993"/>
      <c r="C42" s="1642"/>
      <c r="D42" s="1644"/>
      <c r="E42" s="1670" t="s">
        <v>799</v>
      </c>
      <c r="F42" s="1656" t="s">
        <v>800</v>
      </c>
      <c r="G42" s="1649" t="s">
        <v>589</v>
      </c>
      <c r="H42" s="563"/>
      <c r="I42" s="563"/>
      <c r="J42" s="295" t="s">
        <v>801</v>
      </c>
      <c r="K42" s="549"/>
      <c r="L42" s="1642"/>
      <c r="M42" s="1642"/>
      <c r="R42" s="1642"/>
      <c r="U42" s="550"/>
      <c r="AA42" s="1638"/>
      <c r="AB42" s="1638"/>
      <c r="AC42" s="1638"/>
      <c r="AD42" s="1638"/>
      <c r="AE42" s="1638"/>
      <c r="AF42" s="1166">
        <v>23</v>
      </c>
    </row>
    <row s="1372" customFormat="1" customHeight="1" ht="35.699999999999996">
      <c r="A43" s="993"/>
      <c r="C43" s="1642" t="s">
        <v>625</v>
      </c>
      <c r="D43" s="1644"/>
      <c r="E43" s="1670" t="s">
        <v>113</v>
      </c>
      <c r="F43" s="713" t="s">
        <v>666</v>
      </c>
      <c r="G43" s="1652" t="s">
        <v>802</v>
      </c>
      <c r="H43" s="407"/>
      <c r="I43" s="407"/>
      <c r="J43" s="295" t="s">
        <v>803</v>
      </c>
      <c r="K43" s="549"/>
      <c r="L43" s="1642"/>
      <c r="M43" s="1642"/>
      <c r="R43" s="1642"/>
      <c r="U43" s="550"/>
      <c r="AA43" s="1638"/>
      <c r="AB43" s="1638"/>
      <c r="AC43" s="1638"/>
      <c r="AD43" s="1638"/>
      <c r="AE43" s="1638"/>
      <c r="AF43" s="1166">
        <v>34</v>
      </c>
    </row>
    <row s="1372" customFormat="1" customHeight="1" ht="35.699999999999996">
      <c r="A44" s="993"/>
      <c r="C44" s="1642"/>
      <c r="D44" s="1644"/>
      <c r="E44" s="1670" t="s">
        <v>93</v>
      </c>
      <c r="F44" s="713" t="s">
        <v>804</v>
      </c>
      <c r="G44" s="1649" t="s">
        <v>805</v>
      </c>
      <c r="H44" s="551"/>
      <c r="I44" s="551"/>
      <c r="J44" s="295" t="s">
        <v>806</v>
      </c>
      <c r="K44" s="549"/>
      <c r="L44" s="1642"/>
      <c r="M44" s="1642"/>
      <c r="R44" s="1642"/>
      <c r="U44" s="550"/>
      <c r="AA44" s="1638"/>
      <c r="AB44" s="1638"/>
      <c r="AC44" s="1638"/>
      <c r="AD44" s="1638"/>
      <c r="AE44" s="1638"/>
      <c r="AF44" s="1166">
        <v>34</v>
      </c>
    </row>
    <row s="1372" customFormat="1" customHeight="1" ht="24">
      <c r="A45" s="993"/>
      <c r="C45" s="1642"/>
      <c r="D45" s="1644"/>
      <c r="E45" s="1670" t="s">
        <v>94</v>
      </c>
      <c r="F45" s="713" t="s">
        <v>807</v>
      </c>
      <c r="G45" s="1660" t="s">
        <v>808</v>
      </c>
      <c r="H45" s="551"/>
      <c r="I45" s="551"/>
      <c r="J45" s="295" t="s">
        <v>809</v>
      </c>
      <c r="K45" s="549"/>
      <c r="L45" s="1642"/>
      <c r="M45" s="1642"/>
      <c r="R45" s="1642"/>
      <c r="U45" s="550"/>
      <c r="AA45" s="1638"/>
      <c r="AB45" s="1638"/>
      <c r="AC45" s="1638"/>
      <c r="AD45" s="1638"/>
      <c r="AE45" s="1638"/>
      <c r="AF45" s="1166">
        <v>23</v>
      </c>
    </row>
    <row s="1372" customFormat="1" customHeight="1" ht="19.95">
      <c r="A46" s="993"/>
      <c r="C46" s="1642"/>
      <c r="D46" s="1644"/>
      <c r="E46" s="1670" t="s">
        <v>114</v>
      </c>
      <c r="F46" s="713" t="s">
        <v>810</v>
      </c>
      <c r="G46" s="1649" t="s">
        <v>627</v>
      </c>
      <c r="H46" s="583"/>
      <c r="I46" s="583"/>
      <c r="J46" s="295"/>
      <c r="K46" s="549"/>
      <c r="L46" s="1642"/>
      <c r="M46" s="1642"/>
      <c r="R46" s="1642"/>
      <c r="U46" s="550"/>
      <c r="AA46" s="1638"/>
      <c r="AB46" s="1638"/>
      <c r="AC46" s="1638"/>
      <c r="AD46" s="1638"/>
      <c r="AE46" s="1638"/>
      <c r="AF46" s="1166">
        <v>19</v>
      </c>
    </row>
    <row customHeight="1" ht="11.549999999999999">
      <c r="D47" s="1644"/>
      <c r="AF47" s="1637">
        <v>11</v>
      </c>
    </row>
    <row s="1647" customFormat="1" customHeight="1" ht="11.549999999999999">
      <c r="A48" s="993"/>
      <c r="B48" s="1642"/>
      <c r="C48" s="1642"/>
      <c r="D48" s="357"/>
      <c r="K48" s="1166"/>
      <c r="L48" s="1642"/>
      <c r="M48" s="1642"/>
      <c r="N48" s="1166"/>
      <c r="O48" s="1166"/>
      <c r="P48" s="1166"/>
      <c r="Q48" s="1166"/>
      <c r="R48" s="1642"/>
      <c r="S48" s="1166"/>
      <c r="T48" s="1166"/>
      <c r="U48" s="550"/>
      <c r="V48" s="1166"/>
      <c r="W48" s="1166"/>
      <c r="X48" s="1166"/>
      <c r="Y48" s="1166"/>
      <c r="Z48" s="1166"/>
      <c r="AA48" s="1638"/>
      <c r="AB48" s="572"/>
      <c r="AC48" s="572"/>
      <c r="AD48" s="572"/>
      <c r="AE48" s="572"/>
      <c r="AF48" s="1647">
        <v>11</v>
      </c>
    </row>
    <row s="1647" customFormat="1" customHeight="1" ht="11.549999999999999">
      <c r="A49" s="993"/>
      <c r="B49" s="1642"/>
      <c r="C49" s="1642"/>
      <c r="D49" s="357"/>
      <c r="K49" s="1166"/>
      <c r="L49" s="1642"/>
      <c r="M49" s="1642"/>
      <c r="N49" s="1166"/>
      <c r="O49" s="1166"/>
      <c r="P49" s="1166"/>
      <c r="Q49" s="1166"/>
      <c r="R49" s="1642"/>
      <c r="S49" s="1166"/>
      <c r="T49" s="1166"/>
      <c r="U49" s="550"/>
      <c r="V49" s="1166"/>
      <c r="W49" s="1166"/>
      <c r="X49" s="1166"/>
      <c r="Y49" s="1166"/>
      <c r="Z49" s="1166"/>
      <c r="AA49" s="1638"/>
      <c r="AB49" s="572"/>
      <c r="AC49" s="572"/>
      <c r="AD49" s="572"/>
      <c r="AE49" s="572"/>
      <c r="AF49" s="1647">
        <v>11</v>
      </c>
    </row>
    <row s="1647" customFormat="1" customHeight="1" ht="11.549999999999999">
      <c r="A50" s="993"/>
      <c r="B50" s="1642"/>
      <c r="C50" s="1642"/>
      <c r="D50" s="357"/>
      <c r="H50" s="572"/>
      <c r="I50" s="572"/>
      <c r="K50" s="1166"/>
      <c r="L50" s="1642"/>
      <c r="M50" s="1642"/>
      <c r="N50" s="1166"/>
      <c r="O50" s="1166"/>
      <c r="P50" s="1166"/>
      <c r="Q50" s="1166"/>
      <c r="R50" s="1642"/>
      <c r="S50" s="1166"/>
      <c r="T50" s="1166"/>
      <c r="U50" s="550"/>
      <c r="V50" s="1166"/>
      <c r="W50" s="1166"/>
      <c r="X50" s="1166"/>
      <c r="Y50" s="1166"/>
      <c r="Z50" s="1166"/>
      <c r="AA50" s="1638"/>
      <c r="AB50" s="572"/>
      <c r="AC50" s="572"/>
      <c r="AD50" s="572"/>
      <c r="AE50" s="572"/>
      <c r="AF50" s="1647">
        <v>11</v>
      </c>
    </row>
    <row s="1647" customFormat="1" customHeight="1" ht="11.549999999999999">
      <c r="A51" s="993"/>
      <c r="B51" s="1642"/>
      <c r="C51" s="1642"/>
      <c r="D51" s="357"/>
      <c r="K51" s="1166"/>
      <c r="L51" s="1642"/>
      <c r="M51" s="1642"/>
      <c r="N51" s="1166"/>
      <c r="O51" s="1166"/>
      <c r="P51" s="1166"/>
      <c r="Q51" s="1166"/>
      <c r="R51" s="1642"/>
      <c r="S51" s="1166"/>
      <c r="T51" s="1166"/>
      <c r="U51" s="550"/>
      <c r="V51" s="1166"/>
      <c r="W51" s="1166"/>
      <c r="X51" s="1166"/>
      <c r="Y51" s="1166"/>
      <c r="Z51" s="1166"/>
      <c r="AA51" s="1638"/>
      <c r="AB51" s="572"/>
      <c r="AC51" s="572"/>
      <c r="AD51" s="572"/>
      <c r="AE51" s="572"/>
      <c r="AF51" s="1647">
        <v>11</v>
      </c>
    </row>
    <row s="1647" customFormat="1" customHeight="1" ht="11.549999999999999">
      <c r="A52" s="993"/>
      <c r="B52" s="1642"/>
      <c r="C52" s="1642"/>
      <c r="D52" s="357"/>
      <c r="K52" s="1166"/>
      <c r="L52" s="1642"/>
      <c r="M52" s="1642"/>
      <c r="N52" s="1166"/>
      <c r="O52" s="1166"/>
      <c r="P52" s="1166"/>
      <c r="Q52" s="1166"/>
      <c r="R52" s="1642"/>
      <c r="S52" s="1166"/>
      <c r="T52" s="1166"/>
      <c r="U52" s="550"/>
      <c r="V52" s="1166"/>
      <c r="W52" s="1166"/>
      <c r="X52" s="1166"/>
      <c r="Y52" s="1166"/>
      <c r="Z52" s="1166"/>
      <c r="AA52" s="1638"/>
      <c r="AB52" s="572"/>
      <c r="AC52" s="572"/>
      <c r="AD52" s="572"/>
      <c r="AE52" s="572"/>
      <c r="AF52" s="1647">
        <v>11</v>
      </c>
    </row>
    <row s="1647" customFormat="1" customHeight="1" ht="11.549999999999999">
      <c r="A53" s="993"/>
      <c r="B53" s="1642"/>
      <c r="C53" s="1642"/>
      <c r="D53" s="357"/>
      <c r="K53" s="1166"/>
      <c r="L53" s="1642"/>
      <c r="M53" s="1642"/>
      <c r="N53" s="1166"/>
      <c r="O53" s="1166"/>
      <c r="P53" s="1166"/>
      <c r="Q53" s="1166"/>
      <c r="R53" s="1642"/>
      <c r="S53" s="1166"/>
      <c r="T53" s="1166"/>
      <c r="U53" s="550"/>
      <c r="V53" s="1166"/>
      <c r="W53" s="1166"/>
      <c r="X53" s="1166"/>
      <c r="Y53" s="1166"/>
      <c r="Z53" s="1166"/>
      <c r="AA53" s="1638"/>
      <c r="AB53" s="572"/>
      <c r="AC53" s="572"/>
      <c r="AD53" s="572"/>
      <c r="AE53" s="572"/>
      <c r="AF53" s="1647">
        <v>11</v>
      </c>
    </row>
    <row s="1647" customFormat="1" customHeight="1" ht="11.549999999999999">
      <c r="A54" s="993"/>
      <c r="B54" s="1642"/>
      <c r="C54" s="1642"/>
      <c r="D54" s="357"/>
      <c r="K54" s="1166"/>
      <c r="L54" s="1642"/>
      <c r="M54" s="1642"/>
      <c r="N54" s="1166"/>
      <c r="O54" s="1166"/>
      <c r="P54" s="1166"/>
      <c r="Q54" s="1166"/>
      <c r="R54" s="1642"/>
      <c r="S54" s="1166"/>
      <c r="T54" s="1166"/>
      <c r="U54" s="550"/>
      <c r="V54" s="1166"/>
      <c r="W54" s="1166"/>
      <c r="X54" s="1166"/>
      <c r="Y54" s="1166"/>
      <c r="Z54" s="1166"/>
      <c r="AA54" s="1638"/>
      <c r="AB54" s="572"/>
      <c r="AC54" s="572"/>
      <c r="AD54" s="572"/>
      <c r="AE54" s="572"/>
      <c r="AF54" s="1647">
        <v>11</v>
      </c>
    </row>
    <row s="1647" customFormat="1" customHeight="1" ht="11.549999999999999">
      <c r="A55" s="993"/>
      <c r="B55" s="1642"/>
      <c r="C55" s="1642"/>
      <c r="D55" s="357"/>
      <c r="K55" s="1166"/>
      <c r="L55" s="1642"/>
      <c r="M55" s="1642"/>
      <c r="N55" s="1166"/>
      <c r="O55" s="1166"/>
      <c r="P55" s="1166"/>
      <c r="Q55" s="1166"/>
      <c r="R55" s="1642"/>
      <c r="S55" s="1166"/>
      <c r="T55" s="1166"/>
      <c r="U55" s="550"/>
      <c r="V55" s="1166"/>
      <c r="W55" s="1166"/>
      <c r="X55" s="1166"/>
      <c r="Y55" s="1166"/>
      <c r="Z55" s="1166"/>
      <c r="AA55" s="1638"/>
      <c r="AB55" s="572"/>
      <c r="AC55" s="572"/>
      <c r="AD55" s="572"/>
      <c r="AE55" s="572"/>
      <c r="AF55" s="1647">
        <v>11</v>
      </c>
    </row>
    <row s="1647" customFormat="1" customHeight="1" ht="11.549999999999999">
      <c r="A56" s="993"/>
      <c r="B56" s="1642"/>
      <c r="C56" s="1642"/>
      <c r="D56" s="357"/>
      <c r="K56" s="1166"/>
      <c r="L56" s="1642"/>
      <c r="M56" s="1642"/>
      <c r="N56" s="1166"/>
      <c r="O56" s="1166"/>
      <c r="P56" s="1166"/>
      <c r="Q56" s="1166"/>
      <c r="R56" s="1642"/>
      <c r="S56" s="1166"/>
      <c r="T56" s="1166"/>
      <c r="U56" s="550"/>
      <c r="V56" s="1166"/>
      <c r="W56" s="1166"/>
      <c r="X56" s="1166"/>
      <c r="Y56" s="1166"/>
      <c r="Z56" s="1166"/>
      <c r="AA56" s="1638"/>
      <c r="AB56" s="572"/>
      <c r="AC56" s="572"/>
      <c r="AD56" s="572"/>
      <c r="AE56" s="572"/>
      <c r="AF56" s="1647">
        <v>11</v>
      </c>
    </row>
    <row s="1647" customFormat="1" customHeight="1" ht="11.549999999999999">
      <c r="A57" s="993"/>
      <c r="B57" s="1642"/>
      <c r="C57" s="1642"/>
      <c r="D57" s="357"/>
      <c r="K57" s="1166"/>
      <c r="L57" s="1642"/>
      <c r="M57" s="1642"/>
      <c r="N57" s="1166"/>
      <c r="O57" s="1166"/>
      <c r="P57" s="1166"/>
      <c r="Q57" s="1166"/>
      <c r="R57" s="1642"/>
      <c r="S57" s="1166"/>
      <c r="T57" s="1166"/>
      <c r="U57" s="550"/>
      <c r="V57" s="1166"/>
      <c r="W57" s="1166"/>
      <c r="X57" s="1166"/>
      <c r="Y57" s="1166"/>
      <c r="Z57" s="1166"/>
      <c r="AA57" s="1638"/>
      <c r="AB57" s="572"/>
      <c r="AC57" s="572"/>
      <c r="AD57" s="572"/>
      <c r="AE57" s="572"/>
      <c r="AF57" s="1647">
        <v>11</v>
      </c>
    </row>
    <row s="1647" customFormat="1" customHeight="1" ht="11.549999999999999">
      <c r="A58" s="993"/>
      <c r="B58" s="1642"/>
      <c r="C58" s="1642"/>
      <c r="D58" s="357"/>
      <c r="K58" s="1166"/>
      <c r="L58" s="1642"/>
      <c r="M58" s="1642"/>
      <c r="N58" s="1166"/>
      <c r="O58" s="1166"/>
      <c r="P58" s="1166"/>
      <c r="Q58" s="1166"/>
      <c r="R58" s="1642"/>
      <c r="S58" s="1166"/>
      <c r="T58" s="1166"/>
      <c r="U58" s="550"/>
      <c r="V58" s="1166"/>
      <c r="W58" s="1166"/>
      <c r="X58" s="1166"/>
      <c r="Y58" s="1166"/>
      <c r="Z58" s="1166"/>
      <c r="AA58" s="1638"/>
      <c r="AB58" s="572"/>
      <c r="AC58" s="572"/>
      <c r="AD58" s="572"/>
      <c r="AE58" s="572"/>
      <c r="AF58" s="1647">
        <v>11</v>
      </c>
    </row>
    <row s="1647" customFormat="1" customHeight="1" ht="11.549999999999999">
      <c r="A59" s="993"/>
      <c r="B59" s="1642"/>
      <c r="C59" s="1642"/>
      <c r="D59" s="357"/>
      <c r="K59" s="1166"/>
      <c r="L59" s="1642"/>
      <c r="M59" s="1642"/>
      <c r="N59" s="1166"/>
      <c r="O59" s="1166"/>
      <c r="P59" s="1166"/>
      <c r="Q59" s="1166"/>
      <c r="R59" s="1642"/>
      <c r="S59" s="1166"/>
      <c r="T59" s="1166"/>
      <c r="U59" s="550"/>
      <c r="V59" s="1166"/>
      <c r="W59" s="1166"/>
      <c r="X59" s="1166"/>
      <c r="Y59" s="1166"/>
      <c r="Z59" s="1166"/>
      <c r="AA59" s="1638"/>
      <c r="AB59" s="572"/>
      <c r="AC59" s="572"/>
      <c r="AD59" s="572"/>
      <c r="AE59" s="572"/>
      <c r="AF59" s="1647">
        <v>11</v>
      </c>
    </row>
    <row s="1647" customFormat="1" customHeight="1" ht="11.549999999999999">
      <c r="A60" s="993"/>
      <c r="B60" s="1642"/>
      <c r="C60" s="1642"/>
      <c r="D60" s="357"/>
      <c r="K60" s="1166"/>
      <c r="L60" s="1642"/>
      <c r="M60" s="1642"/>
      <c r="N60" s="1166"/>
      <c r="O60" s="1166"/>
      <c r="P60" s="1166"/>
      <c r="Q60" s="1166"/>
      <c r="R60" s="1642"/>
      <c r="S60" s="1166"/>
      <c r="T60" s="1166"/>
      <c r="U60" s="550"/>
      <c r="V60" s="1166"/>
      <c r="W60" s="1166"/>
      <c r="X60" s="1166"/>
      <c r="Y60" s="1166"/>
      <c r="Z60" s="1166"/>
      <c r="AA60" s="1638"/>
      <c r="AB60" s="572"/>
      <c r="AC60" s="572"/>
      <c r="AD60" s="572"/>
      <c r="AE60" s="572"/>
      <c r="AF60" s="1647">
        <v>11</v>
      </c>
    </row>
    <row s="1647" customFormat="1" customHeight="1" ht="11.549999999999999">
      <c r="A61" s="993"/>
      <c r="B61" s="1642"/>
      <c r="C61" s="1642"/>
      <c r="D61" s="357"/>
      <c r="K61" s="1166"/>
      <c r="L61" s="1642"/>
      <c r="M61" s="1642"/>
      <c r="N61" s="1166"/>
      <c r="O61" s="1166"/>
      <c r="P61" s="1166"/>
      <c r="Q61" s="1166"/>
      <c r="R61" s="1642"/>
      <c r="S61" s="1166"/>
      <c r="T61" s="1166"/>
      <c r="U61" s="550"/>
      <c r="V61" s="1166"/>
      <c r="W61" s="1166"/>
      <c r="X61" s="1166"/>
      <c r="Y61" s="1166"/>
      <c r="Z61" s="1166"/>
      <c r="AA61" s="1638"/>
      <c r="AB61" s="572"/>
      <c r="AC61" s="572"/>
      <c r="AD61" s="572"/>
      <c r="AE61" s="572"/>
      <c r="AF61" s="1647">
        <v>11</v>
      </c>
    </row>
    <row s="1647" customFormat="1" customHeight="1" ht="11.549999999999999">
      <c r="A62" s="993"/>
      <c r="B62" s="1642"/>
      <c r="C62" s="1642"/>
      <c r="D62" s="357"/>
      <c r="K62" s="1166"/>
      <c r="L62" s="1642"/>
      <c r="M62" s="1642"/>
      <c r="N62" s="1166"/>
      <c r="O62" s="1166"/>
      <c r="P62" s="1166"/>
      <c r="Q62" s="1166"/>
      <c r="R62" s="1642"/>
      <c r="S62" s="1166"/>
      <c r="T62" s="1166"/>
      <c r="U62" s="550"/>
      <c r="V62" s="1166"/>
      <c r="W62" s="1166"/>
      <c r="X62" s="1166"/>
      <c r="Y62" s="1166"/>
      <c r="Z62" s="1166"/>
      <c r="AA62" s="1638"/>
      <c r="AB62" s="572"/>
      <c r="AC62" s="572"/>
      <c r="AD62" s="572"/>
      <c r="AE62" s="572"/>
      <c r="AF62" s="1647">
        <v>11</v>
      </c>
    </row>
    <row s="1647" customFormat="1" customHeight="1" ht="11.549999999999999">
      <c r="A63" s="993"/>
      <c r="B63" s="1642"/>
      <c r="C63" s="1642"/>
      <c r="D63" s="357"/>
      <c r="K63" s="1166"/>
      <c r="L63" s="1642"/>
      <c r="M63" s="1642"/>
      <c r="N63" s="1166"/>
      <c r="O63" s="1166"/>
      <c r="P63" s="1166"/>
      <c r="Q63" s="1166"/>
      <c r="R63" s="1642"/>
      <c r="S63" s="1166"/>
      <c r="T63" s="1166"/>
      <c r="U63" s="550"/>
      <c r="V63" s="1166"/>
      <c r="W63" s="1166"/>
      <c r="X63" s="1166"/>
      <c r="Y63" s="1166"/>
      <c r="Z63" s="1166"/>
      <c r="AA63" s="1638"/>
      <c r="AB63" s="572"/>
      <c r="AC63" s="572"/>
      <c r="AD63" s="572"/>
      <c r="AE63" s="572"/>
      <c r="AF63" s="1647">
        <v>11</v>
      </c>
    </row>
    <row s="1647" customFormat="1" customHeight="1" ht="11.549999999999999">
      <c r="A64" s="993"/>
      <c r="B64" s="1642"/>
      <c r="C64" s="1642"/>
      <c r="D64" s="357"/>
      <c r="K64" s="1166"/>
      <c r="L64" s="1642"/>
      <c r="M64" s="1642"/>
      <c r="N64" s="1166"/>
      <c r="O64" s="1166"/>
      <c r="P64" s="1166"/>
      <c r="Q64" s="1166"/>
      <c r="R64" s="1642"/>
      <c r="S64" s="1166"/>
      <c r="T64" s="1166"/>
      <c r="U64" s="550"/>
      <c r="V64" s="1166"/>
      <c r="W64" s="1166"/>
      <c r="X64" s="1166"/>
      <c r="Y64" s="1166"/>
      <c r="Z64" s="1166"/>
      <c r="AA64" s="1638"/>
      <c r="AB64" s="572"/>
      <c r="AC64" s="572"/>
      <c r="AD64" s="572"/>
      <c r="AE64" s="572"/>
      <c r="AF64" s="1647">
        <v>11</v>
      </c>
    </row>
    <row s="1647" customFormat="1" customHeight="1" ht="11.549999999999999">
      <c r="A65" s="993"/>
      <c r="B65" s="1642"/>
      <c r="C65" s="1642"/>
      <c r="D65" s="357"/>
      <c r="K65" s="1166"/>
      <c r="L65" s="1642"/>
      <c r="M65" s="1642"/>
      <c r="N65" s="1166"/>
      <c r="O65" s="1166"/>
      <c r="P65" s="1166"/>
      <c r="Q65" s="1166"/>
      <c r="R65" s="1642"/>
      <c r="S65" s="1166"/>
      <c r="T65" s="1166"/>
      <c r="U65" s="550"/>
      <c r="V65" s="1166"/>
      <c r="W65" s="1166"/>
      <c r="X65" s="1166"/>
      <c r="Y65" s="1166"/>
      <c r="Z65" s="1166"/>
      <c r="AA65" s="1638"/>
      <c r="AB65" s="572"/>
      <c r="AC65" s="572"/>
      <c r="AD65" s="572"/>
      <c r="AE65" s="572"/>
      <c r="AF65" s="1647">
        <v>11</v>
      </c>
    </row>
    <row s="1647" customFormat="1" customHeight="1" ht="11.549999999999999">
      <c r="A66" s="993"/>
      <c r="B66" s="1642"/>
      <c r="C66" s="1642"/>
      <c r="D66" s="357"/>
      <c r="K66" s="1166"/>
      <c r="L66" s="1642"/>
      <c r="M66" s="1642"/>
      <c r="N66" s="1166"/>
      <c r="O66" s="1166"/>
      <c r="P66" s="1166"/>
      <c r="Q66" s="1166"/>
      <c r="R66" s="1642"/>
      <c r="S66" s="1166"/>
      <c r="T66" s="1166"/>
      <c r="U66" s="550"/>
      <c r="V66" s="1166"/>
      <c r="W66" s="1166"/>
      <c r="X66" s="1166"/>
      <c r="Y66" s="1166"/>
      <c r="Z66" s="1166"/>
      <c r="AA66" s="1638"/>
      <c r="AB66" s="572"/>
      <c r="AC66" s="572"/>
      <c r="AD66" s="572"/>
      <c r="AE66" s="572"/>
      <c r="AF66" s="1647">
        <v>11</v>
      </c>
    </row>
    <row s="1647" customFormat="1" customHeight="1" ht="11.549999999999999">
      <c r="A67" s="993"/>
      <c r="B67" s="1642"/>
      <c r="C67" s="1642"/>
      <c r="D67" s="357"/>
      <c r="K67" s="1166"/>
      <c r="L67" s="1642"/>
      <c r="M67" s="1642"/>
      <c r="N67" s="1166"/>
      <c r="O67" s="1166"/>
      <c r="P67" s="1166"/>
      <c r="Q67" s="1166"/>
      <c r="R67" s="1642"/>
      <c r="S67" s="1166"/>
      <c r="T67" s="1166"/>
      <c r="U67" s="550"/>
      <c r="V67" s="1166"/>
      <c r="W67" s="1166"/>
      <c r="X67" s="1166"/>
      <c r="Y67" s="1166"/>
      <c r="Z67" s="1166"/>
      <c r="AA67" s="1638"/>
      <c r="AB67" s="572"/>
      <c r="AC67" s="572"/>
      <c r="AD67" s="572"/>
      <c r="AE67" s="572"/>
      <c r="AF67" s="1647">
        <v>11</v>
      </c>
    </row>
    <row s="1647" customFormat="1" customHeight="1" ht="11.549999999999999">
      <c r="A68" s="993"/>
      <c r="B68" s="1642"/>
      <c r="C68" s="1642"/>
      <c r="D68" s="357"/>
      <c r="K68" s="1166"/>
      <c r="L68" s="1642"/>
      <c r="M68" s="1642"/>
      <c r="N68" s="1166"/>
      <c r="O68" s="1166"/>
      <c r="P68" s="1166"/>
      <c r="Q68" s="1166"/>
      <c r="R68" s="1642"/>
      <c r="S68" s="1166"/>
      <c r="T68" s="1166"/>
      <c r="U68" s="550"/>
      <c r="V68" s="1166"/>
      <c r="W68" s="1166"/>
      <c r="X68" s="1166"/>
      <c r="Y68" s="1166"/>
      <c r="Z68" s="1166"/>
      <c r="AA68" s="1638"/>
      <c r="AB68" s="572"/>
      <c r="AC68" s="572"/>
      <c r="AD68" s="572"/>
      <c r="AE68" s="572"/>
      <c r="AF68" s="1647">
        <v>11</v>
      </c>
    </row>
    <row s="1647" customFormat="1" customHeight="1" ht="11.549999999999999">
      <c r="A69" s="993"/>
      <c r="B69" s="1642"/>
      <c r="C69" s="1642"/>
      <c r="D69" s="357"/>
      <c r="K69" s="1166"/>
      <c r="L69" s="1642"/>
      <c r="M69" s="1642"/>
      <c r="N69" s="1166"/>
      <c r="O69" s="1166"/>
      <c r="P69" s="1166"/>
      <c r="Q69" s="1166"/>
      <c r="R69" s="1642"/>
      <c r="S69" s="1166"/>
      <c r="T69" s="1166"/>
      <c r="U69" s="550"/>
      <c r="V69" s="1166"/>
      <c r="W69" s="1166"/>
      <c r="X69" s="1166"/>
      <c r="Y69" s="1166"/>
      <c r="Z69" s="1166"/>
      <c r="AA69" s="1638"/>
      <c r="AB69" s="572"/>
      <c r="AC69" s="572"/>
      <c r="AD69" s="572"/>
      <c r="AE69" s="572"/>
      <c r="AF69" s="1647">
        <v>11</v>
      </c>
    </row>
    <row s="1647" customFormat="1" customHeight="1" ht="11.549999999999999">
      <c r="A70" s="993"/>
      <c r="B70" s="1642"/>
      <c r="C70" s="1642"/>
      <c r="D70" s="357"/>
      <c r="K70" s="1166"/>
      <c r="L70" s="1642"/>
      <c r="M70" s="1642"/>
      <c r="N70" s="1166"/>
      <c r="O70" s="1166"/>
      <c r="P70" s="1166"/>
      <c r="Q70" s="1166"/>
      <c r="R70" s="1642"/>
      <c r="S70" s="1166"/>
      <c r="T70" s="1166"/>
      <c r="U70" s="550"/>
      <c r="V70" s="1166"/>
      <c r="W70" s="1166"/>
      <c r="X70" s="1166"/>
      <c r="Y70" s="1166"/>
      <c r="Z70" s="1166"/>
      <c r="AA70" s="1638"/>
      <c r="AB70" s="572"/>
      <c r="AC70" s="572"/>
      <c r="AD70" s="572"/>
      <c r="AE70" s="572"/>
      <c r="AF70" s="1647">
        <v>11</v>
      </c>
    </row>
    <row s="1647" customFormat="1" customHeight="1" ht="11.549999999999999">
      <c r="A71" s="993"/>
      <c r="B71" s="1642"/>
      <c r="C71" s="1642"/>
      <c r="D71" s="357"/>
      <c r="K71" s="1166"/>
      <c r="L71" s="1642"/>
      <c r="M71" s="1642"/>
      <c r="N71" s="1166"/>
      <c r="O71" s="1166"/>
      <c r="P71" s="1166"/>
      <c r="Q71" s="1166"/>
      <c r="R71" s="1642"/>
      <c r="S71" s="1166"/>
      <c r="T71" s="1166"/>
      <c r="U71" s="550"/>
      <c r="V71" s="1166"/>
      <c r="W71" s="1166"/>
      <c r="X71" s="1166"/>
      <c r="Y71" s="1166"/>
      <c r="Z71" s="1166"/>
      <c r="AA71" s="1638"/>
      <c r="AB71" s="572"/>
      <c r="AC71" s="572"/>
      <c r="AD71" s="572"/>
      <c r="AE71" s="572"/>
      <c r="AF71" s="1647">
        <v>11</v>
      </c>
    </row>
    <row s="1647" customFormat="1" customHeight="1" ht="11.549999999999999">
      <c r="A72" s="993"/>
      <c r="B72" s="1642"/>
      <c r="C72" s="1642"/>
      <c r="D72" s="357"/>
      <c r="K72" s="1166"/>
      <c r="L72" s="1642"/>
      <c r="M72" s="1642"/>
      <c r="N72" s="1166"/>
      <c r="O72" s="1166"/>
      <c r="P72" s="1166"/>
      <c r="Q72" s="1166"/>
      <c r="R72" s="1642"/>
      <c r="S72" s="1166"/>
      <c r="T72" s="1166"/>
      <c r="U72" s="550"/>
      <c r="V72" s="1166"/>
      <c r="W72" s="1166"/>
      <c r="X72" s="1166"/>
      <c r="Y72" s="1166"/>
      <c r="Z72" s="1166"/>
      <c r="AA72" s="1638"/>
      <c r="AB72" s="572"/>
      <c r="AC72" s="572"/>
      <c r="AD72" s="572"/>
      <c r="AE72" s="572"/>
      <c r="AF72" s="1647">
        <v>11</v>
      </c>
    </row>
    <row s="1647" customFormat="1" customHeight="1" ht="11.549999999999999">
      <c r="A73" s="993"/>
      <c r="B73" s="1642"/>
      <c r="C73" s="1642"/>
      <c r="D73" s="357"/>
      <c r="K73" s="1166"/>
      <c r="L73" s="1642"/>
      <c r="M73" s="1642"/>
      <c r="N73" s="1166"/>
      <c r="O73" s="1166"/>
      <c r="P73" s="1166"/>
      <c r="Q73" s="1166"/>
      <c r="R73" s="1642"/>
      <c r="S73" s="1166"/>
      <c r="T73" s="1166"/>
      <c r="U73" s="550"/>
      <c r="V73" s="1166"/>
      <c r="W73" s="1166"/>
      <c r="X73" s="1166"/>
      <c r="Y73" s="1166"/>
      <c r="Z73" s="1166"/>
      <c r="AA73" s="1638"/>
      <c r="AB73" s="572"/>
      <c r="AC73" s="572"/>
      <c r="AD73" s="572"/>
      <c r="AE73" s="572"/>
      <c r="AF73" s="1647">
        <v>11</v>
      </c>
    </row>
    <row s="1647" customFormat="1" customHeight="1" ht="11.549999999999999">
      <c r="A74" s="993"/>
      <c r="B74" s="1642"/>
      <c r="C74" s="1642"/>
      <c r="D74" s="357"/>
      <c r="K74" s="1166"/>
      <c r="L74" s="1642"/>
      <c r="M74" s="1642"/>
      <c r="N74" s="1166"/>
      <c r="O74" s="1166"/>
      <c r="P74" s="1166"/>
      <c r="Q74" s="1166"/>
      <c r="R74" s="1642"/>
      <c r="S74" s="1166"/>
      <c r="T74" s="1166"/>
      <c r="U74" s="550"/>
      <c r="V74" s="1166"/>
      <c r="W74" s="1166"/>
      <c r="X74" s="1166"/>
      <c r="Y74" s="1166"/>
      <c r="Z74" s="1166"/>
      <c r="AA74" s="1638"/>
      <c r="AB74" s="572"/>
      <c r="AC74" s="572"/>
      <c r="AD74" s="572"/>
      <c r="AE74" s="572"/>
      <c r="AF74" s="1647">
        <v>11</v>
      </c>
    </row>
    <row s="1647" customFormat="1" customHeight="1" ht="11.549999999999999">
      <c r="A75" s="993"/>
      <c r="B75" s="1642"/>
      <c r="C75" s="1642"/>
      <c r="D75" s="357"/>
      <c r="K75" s="1166"/>
      <c r="L75" s="1642"/>
      <c r="M75" s="1642"/>
      <c r="N75" s="1166"/>
      <c r="O75" s="1166"/>
      <c r="P75" s="1166"/>
      <c r="Q75" s="1166"/>
      <c r="R75" s="1642"/>
      <c r="S75" s="1166"/>
      <c r="T75" s="1166"/>
      <c r="U75" s="550"/>
      <c r="V75" s="1166"/>
      <c r="W75" s="1166"/>
      <c r="X75" s="1166"/>
      <c r="Y75" s="1166"/>
      <c r="Z75" s="1166"/>
      <c r="AA75" s="1638"/>
      <c r="AB75" s="572"/>
      <c r="AC75" s="572"/>
      <c r="AD75" s="572"/>
      <c r="AE75" s="572"/>
      <c r="AF75" s="1647">
        <v>11</v>
      </c>
    </row>
    <row s="1647" customFormat="1" customHeight="1" ht="11.549999999999999">
      <c r="A76" s="993"/>
      <c r="B76" s="1642"/>
      <c r="C76" s="1642"/>
      <c r="D76" s="357"/>
      <c r="K76" s="1166"/>
      <c r="L76" s="1642"/>
      <c r="M76" s="1642"/>
      <c r="N76" s="1166"/>
      <c r="O76" s="1166"/>
      <c r="P76" s="1166"/>
      <c r="Q76" s="1166"/>
      <c r="R76" s="1642"/>
      <c r="S76" s="1166"/>
      <c r="T76" s="1166"/>
      <c r="U76" s="550"/>
      <c r="V76" s="1166"/>
      <c r="W76" s="1166"/>
      <c r="X76" s="1166"/>
      <c r="Y76" s="1166"/>
      <c r="Z76" s="1166"/>
      <c r="AA76" s="1638"/>
      <c r="AB76" s="572"/>
      <c r="AC76" s="572"/>
      <c r="AD76" s="572"/>
      <c r="AE76" s="572"/>
      <c r="AF76" s="1647">
        <v>11</v>
      </c>
    </row>
    <row s="1647" customFormat="1" customHeight="1" ht="11.549999999999999">
      <c r="A77" s="993"/>
      <c r="B77" s="1642"/>
      <c r="C77" s="1642"/>
      <c r="D77" s="357"/>
      <c r="K77" s="1166"/>
      <c r="L77" s="1642"/>
      <c r="M77" s="1642"/>
      <c r="N77" s="1166"/>
      <c r="O77" s="1166"/>
      <c r="P77" s="1166"/>
      <c r="Q77" s="1166"/>
      <c r="R77" s="1642"/>
      <c r="S77" s="1166"/>
      <c r="T77" s="1166"/>
      <c r="U77" s="550"/>
      <c r="V77" s="1166"/>
      <c r="W77" s="1166"/>
      <c r="X77" s="1166"/>
      <c r="Y77" s="1166"/>
      <c r="Z77" s="1166"/>
      <c r="AA77" s="1638"/>
      <c r="AB77" s="572"/>
      <c r="AC77" s="572"/>
      <c r="AD77" s="572"/>
      <c r="AE77" s="572"/>
      <c r="AF77" s="1647">
        <v>11</v>
      </c>
    </row>
    <row s="1647" customFormat="1" customHeight="1" ht="11.549999999999999">
      <c r="A78" s="993"/>
      <c r="B78" s="1642"/>
      <c r="C78" s="1642"/>
      <c r="D78" s="357"/>
      <c r="K78" s="1166"/>
      <c r="L78" s="1642"/>
      <c r="M78" s="1642"/>
      <c r="N78" s="1166"/>
      <c r="O78" s="1166"/>
      <c r="P78" s="1166"/>
      <c r="Q78" s="1166"/>
      <c r="R78" s="1642"/>
      <c r="S78" s="1166"/>
      <c r="T78" s="1166"/>
      <c r="U78" s="550"/>
      <c r="V78" s="1166"/>
      <c r="W78" s="1166"/>
      <c r="X78" s="1166"/>
      <c r="Y78" s="1166"/>
      <c r="Z78" s="1166"/>
      <c r="AA78" s="1638"/>
      <c r="AB78" s="572"/>
      <c r="AC78" s="572"/>
      <c r="AD78" s="572"/>
      <c r="AE78" s="572"/>
      <c r="AF78" s="1647">
        <v>11</v>
      </c>
    </row>
    <row s="1647" customFormat="1" customHeight="1" ht="11.549999999999999">
      <c r="A79" s="993"/>
      <c r="B79" s="1642"/>
      <c r="C79" s="1642"/>
      <c r="D79" s="357"/>
      <c r="K79" s="1166"/>
      <c r="L79" s="1642"/>
      <c r="M79" s="1642"/>
      <c r="N79" s="1166"/>
      <c r="O79" s="1166"/>
      <c r="P79" s="1166"/>
      <c r="Q79" s="1166"/>
      <c r="R79" s="1642"/>
      <c r="S79" s="1166"/>
      <c r="T79" s="1166"/>
      <c r="U79" s="550"/>
      <c r="V79" s="1166"/>
      <c r="W79" s="1166"/>
      <c r="X79" s="1166"/>
      <c r="Y79" s="1166"/>
      <c r="Z79" s="1166"/>
      <c r="AA79" s="1638"/>
      <c r="AB79" s="572"/>
      <c r="AC79" s="572"/>
      <c r="AD79" s="572"/>
      <c r="AE79" s="572"/>
      <c r="AF79" s="1647">
        <v>11</v>
      </c>
    </row>
    <row s="1647" customFormat="1" customHeight="1" ht="11.549999999999999">
      <c r="A80" s="993"/>
      <c r="B80" s="1642"/>
      <c r="C80" s="1642"/>
      <c r="D80" s="357"/>
      <c r="K80" s="1166"/>
      <c r="L80" s="1642"/>
      <c r="M80" s="1642"/>
      <c r="N80" s="1166"/>
      <c r="O80" s="1166"/>
      <c r="P80" s="1166"/>
      <c r="Q80" s="1166"/>
      <c r="R80" s="1642"/>
      <c r="S80" s="1166"/>
      <c r="T80" s="1166"/>
      <c r="U80" s="550"/>
      <c r="V80" s="1166"/>
      <c r="W80" s="1166"/>
      <c r="X80" s="1166"/>
      <c r="Y80" s="1166"/>
      <c r="Z80" s="1166"/>
      <c r="AA80" s="1638"/>
      <c r="AB80" s="572"/>
      <c r="AC80" s="572"/>
      <c r="AD80" s="572"/>
      <c r="AE80" s="572"/>
      <c r="AF80" s="1647">
        <v>11</v>
      </c>
    </row>
    <row s="1647" customFormat="1" customHeight="1" ht="11.549999999999999">
      <c r="A81" s="993"/>
      <c r="B81" s="1642"/>
      <c r="C81" s="1642"/>
      <c r="D81" s="357"/>
      <c r="K81" s="1166"/>
      <c r="L81" s="1642"/>
      <c r="M81" s="1642"/>
      <c r="N81" s="1166"/>
      <c r="O81" s="1166"/>
      <c r="P81" s="1166"/>
      <c r="Q81" s="1166"/>
      <c r="R81" s="1642"/>
      <c r="S81" s="1166"/>
      <c r="T81" s="1166"/>
      <c r="U81" s="550"/>
      <c r="V81" s="1166"/>
      <c r="W81" s="1166"/>
      <c r="X81" s="1166"/>
      <c r="Y81" s="1166"/>
      <c r="Z81" s="1166"/>
      <c r="AA81" s="1638"/>
      <c r="AB81" s="572"/>
      <c r="AC81" s="572"/>
      <c r="AD81" s="572"/>
      <c r="AE81" s="572"/>
      <c r="AF81" s="1647">
        <v>11</v>
      </c>
    </row>
    <row s="1647" customFormat="1" customHeight="1" ht="11.549999999999999">
      <c r="A82" s="993"/>
      <c r="B82" s="1642"/>
      <c r="C82" s="1642"/>
      <c r="D82" s="357"/>
      <c r="K82" s="1166"/>
      <c r="L82" s="1642"/>
      <c r="M82" s="1642"/>
      <c r="N82" s="1166"/>
      <c r="O82" s="1166"/>
      <c r="P82" s="1166"/>
      <c r="Q82" s="1166"/>
      <c r="R82" s="1642"/>
      <c r="S82" s="1166"/>
      <c r="T82" s="1166"/>
      <c r="U82" s="550"/>
      <c r="V82" s="1166"/>
      <c r="W82" s="1166"/>
      <c r="X82" s="1166"/>
      <c r="Y82" s="1166"/>
      <c r="Z82" s="1166"/>
      <c r="AA82" s="1638"/>
      <c r="AB82" s="572"/>
      <c r="AC82" s="572"/>
      <c r="AD82" s="572"/>
      <c r="AE82" s="572"/>
      <c r="AF82" s="1647">
        <v>11</v>
      </c>
    </row>
    <row s="1647" customFormat="1" customHeight="1" ht="11.549999999999999">
      <c r="A83" s="993"/>
      <c r="B83" s="1642"/>
      <c r="C83" s="1642"/>
      <c r="D83" s="357"/>
      <c r="K83" s="1166"/>
      <c r="L83" s="1642"/>
      <c r="M83" s="1642"/>
      <c r="N83" s="1166"/>
      <c r="O83" s="1166"/>
      <c r="P83" s="1166"/>
      <c r="Q83" s="1166"/>
      <c r="R83" s="1642"/>
      <c r="S83" s="1166"/>
      <c r="T83" s="1166"/>
      <c r="U83" s="550"/>
      <c r="V83" s="1166"/>
      <c r="W83" s="1166"/>
      <c r="X83" s="1166"/>
      <c r="Y83" s="1166"/>
      <c r="Z83" s="1166"/>
      <c r="AA83" s="1638"/>
      <c r="AB83" s="572"/>
      <c r="AC83" s="572"/>
      <c r="AD83" s="572"/>
      <c r="AE83" s="572"/>
      <c r="AF83" s="1647">
        <v>11</v>
      </c>
    </row>
    <row s="1647" customFormat="1" customHeight="1" ht="11.549999999999999">
      <c r="A84" s="993"/>
      <c r="B84" s="1642"/>
      <c r="C84" s="1642"/>
      <c r="D84" s="357"/>
      <c r="K84" s="1166"/>
      <c r="L84" s="1642"/>
      <c r="M84" s="1642"/>
      <c r="N84" s="1166"/>
      <c r="O84" s="1166"/>
      <c r="P84" s="1166"/>
      <c r="Q84" s="1166"/>
      <c r="R84" s="1642"/>
      <c r="S84" s="1166"/>
      <c r="T84" s="1166"/>
      <c r="U84" s="550"/>
      <c r="V84" s="1166"/>
      <c r="W84" s="1166"/>
      <c r="X84" s="1166"/>
      <c r="Y84" s="1166"/>
      <c r="Z84" s="1166"/>
      <c r="AA84" s="1638"/>
      <c r="AB84" s="572"/>
      <c r="AC84" s="572"/>
      <c r="AD84" s="572"/>
      <c r="AE84" s="572"/>
      <c r="AF84" s="1647">
        <v>11</v>
      </c>
    </row>
    <row s="1647" customFormat="1" customHeight="1" ht="11.549999999999999">
      <c r="A85" s="993"/>
      <c r="B85" s="1642"/>
      <c r="C85" s="1642"/>
      <c r="D85" s="357"/>
      <c r="K85" s="1166"/>
      <c r="L85" s="1642"/>
      <c r="M85" s="1642"/>
      <c r="N85" s="1166"/>
      <c r="O85" s="1166"/>
      <c r="P85" s="1166"/>
      <c r="Q85" s="1166"/>
      <c r="R85" s="1642"/>
      <c r="S85" s="1166"/>
      <c r="T85" s="1166"/>
      <c r="U85" s="550"/>
      <c r="V85" s="1166"/>
      <c r="W85" s="1166"/>
      <c r="X85" s="1166"/>
      <c r="Y85" s="1166"/>
      <c r="Z85" s="1166"/>
      <c r="AA85" s="1638"/>
      <c r="AB85" s="572"/>
      <c r="AC85" s="572"/>
      <c r="AD85" s="572"/>
      <c r="AE85" s="572"/>
      <c r="AF85" s="1647">
        <v>11</v>
      </c>
    </row>
    <row s="1647" customFormat="1" customHeight="1" ht="11.549999999999999">
      <c r="A86" s="993"/>
      <c r="B86" s="1642"/>
      <c r="C86" s="1642"/>
      <c r="D86" s="357"/>
      <c r="K86" s="1166"/>
      <c r="L86" s="1642"/>
      <c r="M86" s="1642"/>
      <c r="N86" s="1166"/>
      <c r="O86" s="1166"/>
      <c r="P86" s="1166"/>
      <c r="Q86" s="1166"/>
      <c r="R86" s="1642"/>
      <c r="S86" s="1166"/>
      <c r="T86" s="1166"/>
      <c r="U86" s="550"/>
      <c r="V86" s="1166"/>
      <c r="W86" s="1166"/>
      <c r="X86" s="1166"/>
      <c r="Y86" s="1166"/>
      <c r="Z86" s="1166"/>
      <c r="AA86" s="1638"/>
      <c r="AB86" s="572"/>
      <c r="AC86" s="572"/>
      <c r="AD86" s="572"/>
      <c r="AE86" s="572"/>
      <c r="AF86" s="1647">
        <v>11</v>
      </c>
    </row>
    <row s="1647" customFormat="1" customHeight="1" ht="11.549999999999999">
      <c r="A87" s="993"/>
      <c r="B87" s="1642"/>
      <c r="C87" s="1642"/>
      <c r="D87" s="357"/>
      <c r="K87" s="1166"/>
      <c r="L87" s="1642"/>
      <c r="M87" s="1642"/>
      <c r="N87" s="1166"/>
      <c r="O87" s="1166"/>
      <c r="P87" s="1166"/>
      <c r="Q87" s="1166"/>
      <c r="R87" s="1642"/>
      <c r="S87" s="1166"/>
      <c r="T87" s="1166"/>
      <c r="U87" s="550"/>
      <c r="V87" s="1166"/>
      <c r="W87" s="1166"/>
      <c r="X87" s="1166"/>
      <c r="Y87" s="1166"/>
      <c r="Z87" s="1166"/>
      <c r="AA87" s="1638"/>
      <c r="AB87" s="572"/>
      <c r="AC87" s="572"/>
      <c r="AD87" s="572"/>
      <c r="AE87" s="572"/>
      <c r="AF87" s="1647">
        <v>11</v>
      </c>
    </row>
    <row s="1647" customFormat="1" customHeight="1" ht="11.549999999999999">
      <c r="A88" s="993"/>
      <c r="B88" s="1642"/>
      <c r="C88" s="1642"/>
      <c r="D88" s="357"/>
      <c r="K88" s="1166"/>
      <c r="L88" s="1642"/>
      <c r="M88" s="1642"/>
      <c r="N88" s="1166"/>
      <c r="O88" s="1166"/>
      <c r="P88" s="1166"/>
      <c r="Q88" s="1166"/>
      <c r="R88" s="1642"/>
      <c r="S88" s="1166"/>
      <c r="T88" s="1166"/>
      <c r="U88" s="550"/>
      <c r="V88" s="1166"/>
      <c r="W88" s="1166"/>
      <c r="X88" s="1166"/>
      <c r="Y88" s="1166"/>
      <c r="Z88" s="1166"/>
      <c r="AA88" s="1638"/>
      <c r="AB88" s="572"/>
      <c r="AC88" s="572"/>
      <c r="AD88" s="572"/>
      <c r="AE88" s="572"/>
      <c r="AF88" s="1647">
        <v>11</v>
      </c>
    </row>
    <row s="1647" customFormat="1" customHeight="1" ht="11.549999999999999">
      <c r="A89" s="993"/>
      <c r="B89" s="1642"/>
      <c r="C89" s="1642"/>
      <c r="D89" s="357"/>
      <c r="K89" s="1166"/>
      <c r="L89" s="1642"/>
      <c r="M89" s="1642"/>
      <c r="N89" s="1166"/>
      <c r="O89" s="1166"/>
      <c r="P89" s="1166"/>
      <c r="Q89" s="1166"/>
      <c r="R89" s="1642"/>
      <c r="S89" s="1166"/>
      <c r="T89" s="1166"/>
      <c r="U89" s="550"/>
      <c r="V89" s="1166"/>
      <c r="W89" s="1166"/>
      <c r="X89" s="1166"/>
      <c r="Y89" s="1166"/>
      <c r="Z89" s="1166"/>
      <c r="AA89" s="1638"/>
      <c r="AB89" s="572"/>
      <c r="AC89" s="572"/>
      <c r="AD89" s="572"/>
      <c r="AE89" s="572"/>
      <c r="AF89" s="1647">
        <v>11</v>
      </c>
    </row>
    <row s="1647" customFormat="1" customHeight="1" ht="11.549999999999999">
      <c r="A90" s="993"/>
      <c r="B90" s="1642"/>
      <c r="C90" s="1642"/>
      <c r="D90" s="357"/>
      <c r="K90" s="1166"/>
      <c r="L90" s="1642"/>
      <c r="M90" s="1642"/>
      <c r="N90" s="1166"/>
      <c r="O90" s="1166"/>
      <c r="P90" s="1166"/>
      <c r="Q90" s="1166"/>
      <c r="R90" s="1642"/>
      <c r="S90" s="1166"/>
      <c r="T90" s="1166"/>
      <c r="U90" s="550"/>
      <c r="V90" s="1166"/>
      <c r="W90" s="1166"/>
      <c r="X90" s="1166"/>
      <c r="Y90" s="1166"/>
      <c r="Z90" s="1166"/>
      <c r="AA90" s="1638"/>
      <c r="AB90" s="572"/>
      <c r="AC90" s="572"/>
      <c r="AD90" s="572"/>
      <c r="AE90" s="572"/>
      <c r="AF90" s="1647">
        <v>11</v>
      </c>
    </row>
    <row s="1647" customFormat="1" customHeight="1" ht="11.549999999999999">
      <c r="A91" s="993"/>
      <c r="B91" s="1642"/>
      <c r="C91" s="1642"/>
      <c r="D91" s="357"/>
      <c r="K91" s="1166"/>
      <c r="L91" s="1642"/>
      <c r="M91" s="1642"/>
      <c r="N91" s="1166"/>
      <c r="O91" s="1166"/>
      <c r="P91" s="1166"/>
      <c r="Q91" s="1166"/>
      <c r="R91" s="1642"/>
      <c r="S91" s="1166"/>
      <c r="T91" s="1166"/>
      <c r="U91" s="550"/>
      <c r="V91" s="1166"/>
      <c r="W91" s="1166"/>
      <c r="X91" s="1166"/>
      <c r="Y91" s="1166"/>
      <c r="Z91" s="1166"/>
      <c r="AA91" s="1638"/>
      <c r="AB91" s="572"/>
      <c r="AC91" s="572"/>
      <c r="AD91" s="572"/>
      <c r="AE91" s="572"/>
      <c r="AF91" s="1647">
        <v>11</v>
      </c>
    </row>
    <row s="1647" customFormat="1" customHeight="1" ht="11.549999999999999">
      <c r="A92" s="993"/>
      <c r="B92" s="1642"/>
      <c r="C92" s="1642"/>
      <c r="D92" s="357"/>
      <c r="K92" s="1166"/>
      <c r="L92" s="1642"/>
      <c r="M92" s="1642"/>
      <c r="N92" s="1166"/>
      <c r="O92" s="1166"/>
      <c r="P92" s="1166"/>
      <c r="Q92" s="1166"/>
      <c r="R92" s="1642"/>
      <c r="S92" s="1166"/>
      <c r="T92" s="1166"/>
      <c r="U92" s="550"/>
      <c r="V92" s="1166"/>
      <c r="W92" s="1166"/>
      <c r="X92" s="1166"/>
      <c r="Y92" s="1166"/>
      <c r="Z92" s="1166"/>
      <c r="AA92" s="1638"/>
      <c r="AB92" s="572"/>
      <c r="AC92" s="572"/>
      <c r="AD92" s="572"/>
      <c r="AE92" s="572"/>
      <c r="AF92" s="1647">
        <v>11</v>
      </c>
    </row>
    <row s="1647" customFormat="1" customHeight="1" ht="11.549999999999999">
      <c r="A93" s="993"/>
      <c r="B93" s="1642"/>
      <c r="C93" s="1642"/>
      <c r="D93" s="357"/>
      <c r="K93" s="1166"/>
      <c r="L93" s="1642"/>
      <c r="M93" s="1642"/>
      <c r="N93" s="1166"/>
      <c r="O93" s="1166"/>
      <c r="P93" s="1166"/>
      <c r="Q93" s="1166"/>
      <c r="R93" s="1642"/>
      <c r="S93" s="1166"/>
      <c r="T93" s="1166"/>
      <c r="U93" s="550"/>
      <c r="V93" s="1166"/>
      <c r="W93" s="1166"/>
      <c r="X93" s="1166"/>
      <c r="Y93" s="1166"/>
      <c r="Z93" s="1166"/>
      <c r="AA93" s="1638"/>
      <c r="AB93" s="572"/>
      <c r="AC93" s="572"/>
      <c r="AD93" s="572"/>
      <c r="AE93" s="572"/>
      <c r="AF93" s="1647">
        <v>11</v>
      </c>
    </row>
    <row s="1647" customFormat="1" customHeight="1" ht="11.549999999999999">
      <c r="A94" s="993"/>
      <c r="B94" s="1642"/>
      <c r="C94" s="1642"/>
      <c r="D94" s="357"/>
      <c r="K94" s="1166"/>
      <c r="L94" s="1642"/>
      <c r="M94" s="1642"/>
      <c r="N94" s="1166"/>
      <c r="O94" s="1166"/>
      <c r="P94" s="1166"/>
      <c r="Q94" s="1166"/>
      <c r="R94" s="1642"/>
      <c r="S94" s="1166"/>
      <c r="T94" s="1166"/>
      <c r="U94" s="550"/>
      <c r="V94" s="1166"/>
      <c r="W94" s="1166"/>
      <c r="X94" s="1166"/>
      <c r="Y94" s="1166"/>
      <c r="Z94" s="1166"/>
      <c r="AA94" s="1638"/>
      <c r="AB94" s="572"/>
      <c r="AC94" s="572"/>
      <c r="AD94" s="572"/>
      <c r="AE94" s="572"/>
      <c r="AF94" s="1647">
        <v>11</v>
      </c>
    </row>
    <row s="1647" customFormat="1" customHeight="1" ht="11.549999999999999">
      <c r="A95" s="993"/>
      <c r="B95" s="1642"/>
      <c r="C95" s="1642"/>
      <c r="D95" s="357"/>
      <c r="K95" s="1166"/>
      <c r="L95" s="1642"/>
      <c r="M95" s="1642"/>
      <c r="N95" s="1166"/>
      <c r="O95" s="1166"/>
      <c r="P95" s="1166"/>
      <c r="Q95" s="1166"/>
      <c r="R95" s="1642"/>
      <c r="S95" s="1166"/>
      <c r="T95" s="1166"/>
      <c r="U95" s="550"/>
      <c r="V95" s="1166"/>
      <c r="W95" s="1166"/>
      <c r="X95" s="1166"/>
      <c r="Y95" s="1166"/>
      <c r="Z95" s="1166"/>
      <c r="AA95" s="1638"/>
      <c r="AB95" s="572"/>
      <c r="AC95" s="572"/>
      <c r="AD95" s="572"/>
      <c r="AE95" s="572"/>
      <c r="AF95" s="1647">
        <v>11</v>
      </c>
    </row>
    <row s="1647" customFormat="1" customHeight="1" ht="11.549999999999999">
      <c r="A96" s="993"/>
      <c r="B96" s="1642"/>
      <c r="C96" s="1642"/>
      <c r="D96" s="357"/>
      <c r="K96" s="1166"/>
      <c r="L96" s="1642"/>
      <c r="M96" s="1642"/>
      <c r="N96" s="1166"/>
      <c r="O96" s="1166"/>
      <c r="P96" s="1166"/>
      <c r="Q96" s="1166"/>
      <c r="R96" s="1642"/>
      <c r="S96" s="1166"/>
      <c r="T96" s="1166"/>
      <c r="U96" s="550"/>
      <c r="V96" s="1166"/>
      <c r="W96" s="1166"/>
      <c r="X96" s="1166"/>
      <c r="Y96" s="1166"/>
      <c r="Z96" s="1166"/>
      <c r="AA96" s="1638"/>
      <c r="AB96" s="572"/>
      <c r="AC96" s="572"/>
      <c r="AD96" s="572"/>
      <c r="AE96" s="572"/>
      <c r="AF96" s="1647">
        <v>11</v>
      </c>
    </row>
    <row s="1647" customFormat="1" customHeight="1" ht="11.549999999999999">
      <c r="A97" s="993"/>
      <c r="B97" s="1642"/>
      <c r="C97" s="1642"/>
      <c r="D97" s="357"/>
      <c r="K97" s="1166"/>
      <c r="L97" s="1642"/>
      <c r="M97" s="1642"/>
      <c r="N97" s="1166"/>
      <c r="O97" s="1166"/>
      <c r="P97" s="1166"/>
      <c r="Q97" s="1166"/>
      <c r="R97" s="1642"/>
      <c r="S97" s="1166"/>
      <c r="T97" s="1166"/>
      <c r="U97" s="550"/>
      <c r="V97" s="1166"/>
      <c r="W97" s="1166"/>
      <c r="X97" s="1166"/>
      <c r="Y97" s="1166"/>
      <c r="Z97" s="1166"/>
      <c r="AA97" s="1638"/>
      <c r="AB97" s="572"/>
      <c r="AC97" s="572"/>
      <c r="AD97" s="572"/>
      <c r="AE97" s="572"/>
      <c r="AF97" s="1647">
        <v>11</v>
      </c>
    </row>
    <row s="1647" customFormat="1" customHeight="1" ht="11.549999999999999">
      <c r="A98" s="993"/>
      <c r="B98" s="1642"/>
      <c r="C98" s="1642"/>
      <c r="D98" s="357"/>
      <c r="K98" s="1166"/>
      <c r="L98" s="1642"/>
      <c r="M98" s="1642"/>
      <c r="N98" s="1166"/>
      <c r="O98" s="1166"/>
      <c r="P98" s="1166"/>
      <c r="Q98" s="1166"/>
      <c r="R98" s="1642"/>
      <c r="S98" s="1166"/>
      <c r="T98" s="1166"/>
      <c r="U98" s="550"/>
      <c r="V98" s="1166"/>
      <c r="W98" s="1166"/>
      <c r="X98" s="1166"/>
      <c r="Y98" s="1166"/>
      <c r="Z98" s="1166"/>
      <c r="AA98" s="1638"/>
      <c r="AB98" s="572"/>
      <c r="AC98" s="572"/>
      <c r="AD98" s="572"/>
      <c r="AE98" s="572"/>
      <c r="AF98" s="1647">
        <v>11</v>
      </c>
    </row>
    <row s="1647" customFormat="1" customHeight="1" ht="11.549999999999999">
      <c r="A99" s="993"/>
      <c r="B99" s="1642"/>
      <c r="C99" s="1642"/>
      <c r="D99" s="357"/>
      <c r="K99" s="1166"/>
      <c r="L99" s="1642"/>
      <c r="M99" s="1642"/>
      <c r="N99" s="1166"/>
      <c r="O99" s="1166"/>
      <c r="P99" s="1166"/>
      <c r="Q99" s="1166"/>
      <c r="R99" s="1642"/>
      <c r="S99" s="1166"/>
      <c r="T99" s="1166"/>
      <c r="U99" s="550"/>
      <c r="V99" s="1166"/>
      <c r="W99" s="1166"/>
      <c r="X99" s="1166"/>
      <c r="Y99" s="1166"/>
      <c r="Z99" s="1166"/>
      <c r="AA99" s="1638"/>
      <c r="AB99" s="572"/>
      <c r="AC99" s="572"/>
      <c r="AD99" s="572"/>
      <c r="AE99" s="572"/>
      <c r="AF99" s="1647">
        <v>11</v>
      </c>
    </row>
    <row s="1647" customFormat="1" customHeight="1" ht="11.549999999999999">
      <c r="A100" s="993"/>
      <c r="B100" s="1642"/>
      <c r="C100" s="1642"/>
      <c r="D100" s="357"/>
      <c r="K100" s="1166"/>
      <c r="L100" s="1642"/>
      <c r="M100" s="1642"/>
      <c r="N100" s="1166"/>
      <c r="O100" s="1166"/>
      <c r="P100" s="1166"/>
      <c r="Q100" s="1166"/>
      <c r="R100" s="1642"/>
      <c r="S100" s="1166"/>
      <c r="T100" s="1166"/>
      <c r="U100" s="550"/>
      <c r="V100" s="1166"/>
      <c r="W100" s="1166"/>
      <c r="X100" s="1166"/>
      <c r="Y100" s="1166"/>
      <c r="Z100" s="1166"/>
      <c r="AA100" s="1638"/>
      <c r="AB100" s="572"/>
      <c r="AC100" s="572"/>
      <c r="AD100" s="572"/>
      <c r="AE100" s="572"/>
      <c r="AF100" s="1647">
        <v>11</v>
      </c>
    </row>
    <row s="1647" customFormat="1" customHeight="1" ht="11.549999999999999">
      <c r="A101" s="993"/>
      <c r="B101" s="1642"/>
      <c r="C101" s="1642"/>
      <c r="D101" s="357"/>
      <c r="K101" s="1166"/>
      <c r="L101" s="1642"/>
      <c r="M101" s="1642"/>
      <c r="N101" s="1166"/>
      <c r="O101" s="1166"/>
      <c r="P101" s="1166"/>
      <c r="Q101" s="1166"/>
      <c r="R101" s="1642"/>
      <c r="S101" s="1166"/>
      <c r="T101" s="1166"/>
      <c r="U101" s="550"/>
      <c r="V101" s="1166"/>
      <c r="W101" s="1166"/>
      <c r="X101" s="1166"/>
      <c r="Y101" s="1166"/>
      <c r="Z101" s="1166"/>
      <c r="AA101" s="1638"/>
      <c r="AB101" s="572"/>
      <c r="AC101" s="572"/>
      <c r="AD101" s="572"/>
      <c r="AE101" s="572"/>
      <c r="AF101" s="1647">
        <v>11</v>
      </c>
    </row>
    <row s="1647" customFormat="1" customHeight="1" ht="11.549999999999999">
      <c r="A102" s="993"/>
      <c r="B102" s="1642"/>
      <c r="C102" s="1642"/>
      <c r="D102" s="357"/>
      <c r="K102" s="1166"/>
      <c r="L102" s="1642"/>
      <c r="M102" s="1642"/>
      <c r="N102" s="1166"/>
      <c r="O102" s="1166"/>
      <c r="P102" s="1166"/>
      <c r="Q102" s="1166"/>
      <c r="R102" s="1642"/>
      <c r="S102" s="1166"/>
      <c r="T102" s="1166"/>
      <c r="U102" s="550"/>
      <c r="V102" s="1166"/>
      <c r="W102" s="1166"/>
      <c r="X102" s="1166"/>
      <c r="Y102" s="1166"/>
      <c r="Z102" s="1166"/>
      <c r="AA102" s="1638"/>
      <c r="AB102" s="572"/>
      <c r="AC102" s="572"/>
      <c r="AD102" s="572"/>
      <c r="AE102" s="572"/>
      <c r="AF102" s="1647">
        <v>11</v>
      </c>
    </row>
    <row s="1647" customFormat="1" customHeight="1" ht="11.549999999999999">
      <c r="A103" s="993"/>
      <c r="B103" s="1642"/>
      <c r="C103" s="1642"/>
      <c r="D103" s="357"/>
      <c r="K103" s="1166"/>
      <c r="L103" s="1642"/>
      <c r="M103" s="1642"/>
      <c r="N103" s="1166"/>
      <c r="O103" s="1166"/>
      <c r="P103" s="1166"/>
      <c r="Q103" s="1166"/>
      <c r="R103" s="1642"/>
      <c r="S103" s="1166"/>
      <c r="T103" s="1166"/>
      <c r="U103" s="550"/>
      <c r="V103" s="1166"/>
      <c r="W103" s="1166"/>
      <c r="X103" s="1166"/>
      <c r="Y103" s="1166"/>
      <c r="Z103" s="1166"/>
      <c r="AA103" s="1638"/>
      <c r="AB103" s="572"/>
      <c r="AC103" s="572"/>
      <c r="AD103" s="572"/>
      <c r="AE103" s="572"/>
      <c r="AF103" s="1647">
        <v>11</v>
      </c>
    </row>
    <row s="1647" customFormat="1" customHeight="1" ht="11.549999999999999">
      <c r="A104" s="993"/>
      <c r="B104" s="1642"/>
      <c r="C104" s="1642"/>
      <c r="D104" s="357"/>
      <c r="K104" s="1166"/>
      <c r="L104" s="1642"/>
      <c r="M104" s="1642"/>
      <c r="N104" s="1166"/>
      <c r="O104" s="1166"/>
      <c r="P104" s="1166"/>
      <c r="Q104" s="1166"/>
      <c r="R104" s="1642"/>
      <c r="S104" s="1166"/>
      <c r="T104" s="1166"/>
      <c r="U104" s="550"/>
      <c r="V104" s="1166"/>
      <c r="W104" s="1166"/>
      <c r="X104" s="1166"/>
      <c r="Y104" s="1166"/>
      <c r="Z104" s="1166"/>
      <c r="AA104" s="1638"/>
      <c r="AB104" s="572"/>
      <c r="AC104" s="572"/>
      <c r="AD104" s="572"/>
      <c r="AE104" s="572"/>
      <c r="AF104" s="1647">
        <v>11</v>
      </c>
    </row>
    <row s="1647" customFormat="1" customHeight="1" ht="11.549999999999999">
      <c r="A105" s="993"/>
      <c r="B105" s="1642"/>
      <c r="C105" s="1642"/>
      <c r="D105" s="357"/>
      <c r="K105" s="1166"/>
      <c r="L105" s="1642"/>
      <c r="M105" s="1642"/>
      <c r="N105" s="1166"/>
      <c r="O105" s="1166"/>
      <c r="P105" s="1166"/>
      <c r="Q105" s="1166"/>
      <c r="R105" s="1642"/>
      <c r="S105" s="1166"/>
      <c r="T105" s="1166"/>
      <c r="U105" s="550"/>
      <c r="V105" s="1166"/>
      <c r="W105" s="1166"/>
      <c r="X105" s="1166"/>
      <c r="Y105" s="1166"/>
      <c r="Z105" s="1166"/>
      <c r="AA105" s="1638"/>
      <c r="AB105" s="572"/>
      <c r="AC105" s="572"/>
      <c r="AD105" s="572"/>
      <c r="AE105" s="572"/>
      <c r="AF105" s="1647">
        <v>11</v>
      </c>
    </row>
    <row s="1647" customFormat="1" customHeight="1" ht="11.549999999999999">
      <c r="A106" s="993"/>
      <c r="B106" s="1642"/>
      <c r="C106" s="1642"/>
      <c r="D106" s="357"/>
      <c r="K106" s="1166"/>
      <c r="L106" s="1642"/>
      <c r="M106" s="1642"/>
      <c r="N106" s="1166"/>
      <c r="O106" s="1166"/>
      <c r="P106" s="1166"/>
      <c r="Q106" s="1166"/>
      <c r="R106" s="1642"/>
      <c r="S106" s="1166"/>
      <c r="T106" s="1166"/>
      <c r="U106" s="550"/>
      <c r="V106" s="1166"/>
      <c r="W106" s="1166"/>
      <c r="X106" s="1166"/>
      <c r="Y106" s="1166"/>
      <c r="Z106" s="1166"/>
      <c r="AA106" s="1638"/>
      <c r="AB106" s="572"/>
      <c r="AC106" s="572"/>
      <c r="AD106" s="572"/>
      <c r="AE106" s="572"/>
      <c r="AF106" s="1647">
        <v>11</v>
      </c>
    </row>
    <row s="1647" customFormat="1" customHeight="1" ht="11.549999999999999">
      <c r="A107" s="993"/>
      <c r="B107" s="1642"/>
      <c r="C107" s="1642"/>
      <c r="D107" s="357"/>
      <c r="K107" s="1166"/>
      <c r="L107" s="1642"/>
      <c r="M107" s="1642"/>
      <c r="N107" s="1166"/>
      <c r="O107" s="1166"/>
      <c r="P107" s="1166"/>
      <c r="Q107" s="1166"/>
      <c r="R107" s="1642"/>
      <c r="S107" s="1166"/>
      <c r="T107" s="1166"/>
      <c r="U107" s="550"/>
      <c r="V107" s="1166"/>
      <c r="W107" s="1166"/>
      <c r="X107" s="1166"/>
      <c r="Y107" s="1166"/>
      <c r="Z107" s="1166"/>
      <c r="AA107" s="1638"/>
      <c r="AB107" s="572"/>
      <c r="AC107" s="572"/>
      <c r="AD107" s="572"/>
      <c r="AE107" s="572"/>
      <c r="AF107" s="1647">
        <v>11</v>
      </c>
    </row>
    <row s="1647" customFormat="1" customHeight="1" ht="11.549999999999999">
      <c r="A108" s="993"/>
      <c r="B108" s="1642"/>
      <c r="C108" s="1642"/>
      <c r="D108" s="357"/>
      <c r="K108" s="1166"/>
      <c r="L108" s="1642"/>
      <c r="M108" s="1642"/>
      <c r="N108" s="1166"/>
      <c r="O108" s="1166"/>
      <c r="P108" s="1166"/>
      <c r="Q108" s="1166"/>
      <c r="R108" s="1642"/>
      <c r="S108" s="1166"/>
      <c r="T108" s="1166"/>
      <c r="U108" s="550"/>
      <c r="V108" s="1166"/>
      <c r="W108" s="1166"/>
      <c r="X108" s="1166"/>
      <c r="Y108" s="1166"/>
      <c r="Z108" s="1166"/>
      <c r="AA108" s="1638"/>
      <c r="AB108" s="572"/>
      <c r="AC108" s="572"/>
      <c r="AD108" s="572"/>
      <c r="AE108" s="572"/>
      <c r="AF108" s="1647">
        <v>11</v>
      </c>
    </row>
    <row s="1647" customFormat="1" customHeight="1" ht="11.549999999999999">
      <c r="A109" s="993"/>
      <c r="B109" s="1642"/>
      <c r="C109" s="1642"/>
      <c r="D109" s="357"/>
      <c r="K109" s="1166"/>
      <c r="L109" s="1642"/>
      <c r="M109" s="1642"/>
      <c r="N109" s="1166"/>
      <c r="O109" s="1166"/>
      <c r="P109" s="1166"/>
      <c r="Q109" s="1166"/>
      <c r="R109" s="1642"/>
      <c r="S109" s="1166"/>
      <c r="T109" s="1166"/>
      <c r="U109" s="550"/>
      <c r="V109" s="1166"/>
      <c r="W109" s="1166"/>
      <c r="X109" s="1166"/>
      <c r="Y109" s="1166"/>
      <c r="Z109" s="1166"/>
      <c r="AA109" s="1638"/>
      <c r="AB109" s="572"/>
      <c r="AC109" s="572"/>
      <c r="AD109" s="572"/>
      <c r="AE109" s="572"/>
      <c r="AF109" s="1647">
        <v>11</v>
      </c>
    </row>
    <row s="1647" customFormat="1" customHeight="1" ht="11.549999999999999">
      <c r="A110" s="993"/>
      <c r="B110" s="1642"/>
      <c r="C110" s="1642"/>
      <c r="D110" s="357"/>
      <c r="K110" s="1166"/>
      <c r="L110" s="1642"/>
      <c r="M110" s="1642"/>
      <c r="N110" s="1166"/>
      <c r="O110" s="1166"/>
      <c r="P110" s="1166"/>
      <c r="Q110" s="1166"/>
      <c r="R110" s="1642"/>
      <c r="S110" s="1166"/>
      <c r="T110" s="1166"/>
      <c r="U110" s="550"/>
      <c r="V110" s="1166"/>
      <c r="W110" s="1166"/>
      <c r="X110" s="1166"/>
      <c r="Y110" s="1166"/>
      <c r="Z110" s="1166"/>
      <c r="AA110" s="1638"/>
      <c r="AB110" s="572"/>
      <c r="AC110" s="572"/>
      <c r="AD110" s="572"/>
      <c r="AE110" s="572"/>
      <c r="AF110" s="1647">
        <v>11</v>
      </c>
    </row>
    <row s="1647" customFormat="1" customHeight="1" ht="11.549999999999999">
      <c r="A111" s="993"/>
      <c r="B111" s="1642"/>
      <c r="C111" s="1642"/>
      <c r="D111" s="357"/>
      <c r="K111" s="1166"/>
      <c r="L111" s="1642"/>
      <c r="M111" s="1642"/>
      <c r="N111" s="1166"/>
      <c r="O111" s="1166"/>
      <c r="P111" s="1166"/>
      <c r="Q111" s="1166"/>
      <c r="R111" s="1642"/>
      <c r="S111" s="1166"/>
      <c r="T111" s="1166"/>
      <c r="U111" s="550"/>
      <c r="V111" s="1166"/>
      <c r="W111" s="1166"/>
      <c r="X111" s="1166"/>
      <c r="Y111" s="1166"/>
      <c r="Z111" s="1166"/>
      <c r="AA111" s="1638"/>
      <c r="AB111" s="572"/>
      <c r="AC111" s="572"/>
      <c r="AD111" s="572"/>
      <c r="AE111" s="572"/>
      <c r="AF111" s="1647">
        <v>11</v>
      </c>
    </row>
    <row s="1647" customFormat="1" customHeight="1" ht="11.549999999999999">
      <c r="A112" s="993"/>
      <c r="B112" s="1642"/>
      <c r="C112" s="1642"/>
      <c r="D112" s="357"/>
      <c r="K112" s="1166"/>
      <c r="L112" s="1642"/>
      <c r="M112" s="1642"/>
      <c r="N112" s="1166"/>
      <c r="O112" s="1166"/>
      <c r="P112" s="1166"/>
      <c r="Q112" s="1166"/>
      <c r="R112" s="1642"/>
      <c r="S112" s="1166"/>
      <c r="T112" s="1166"/>
      <c r="U112" s="550"/>
      <c r="V112" s="1166"/>
      <c r="W112" s="1166"/>
      <c r="X112" s="1166"/>
      <c r="Y112" s="1166"/>
      <c r="Z112" s="1166"/>
      <c r="AA112" s="1638"/>
      <c r="AB112" s="572"/>
      <c r="AC112" s="572"/>
      <c r="AD112" s="572"/>
      <c r="AE112" s="572"/>
      <c r="AF112" s="1647">
        <v>11</v>
      </c>
    </row>
    <row s="1647" customFormat="1" customHeight="1" ht="11.549999999999999">
      <c r="A113" s="993"/>
      <c r="B113" s="1642"/>
      <c r="C113" s="1642"/>
      <c r="D113" s="357"/>
      <c r="K113" s="1166"/>
      <c r="L113" s="1642"/>
      <c r="M113" s="1642"/>
      <c r="N113" s="1166"/>
      <c r="O113" s="1166"/>
      <c r="P113" s="1166"/>
      <c r="Q113" s="1166"/>
      <c r="R113" s="1642"/>
      <c r="S113" s="1166"/>
      <c r="T113" s="1166"/>
      <c r="U113" s="550"/>
      <c r="V113" s="1166"/>
      <c r="W113" s="1166"/>
      <c r="X113" s="1166"/>
      <c r="Y113" s="1166"/>
      <c r="Z113" s="1166"/>
      <c r="AA113" s="1638"/>
      <c r="AB113" s="572"/>
      <c r="AC113" s="572"/>
      <c r="AD113" s="572"/>
      <c r="AE113" s="572"/>
      <c r="AF113" s="1647">
        <v>11</v>
      </c>
    </row>
    <row s="1647" customFormat="1" customHeight="1" ht="11.549999999999999">
      <c r="A114" s="993"/>
      <c r="B114" s="1642"/>
      <c r="C114" s="1642"/>
      <c r="D114" s="357"/>
      <c r="K114" s="1166"/>
      <c r="L114" s="1642"/>
      <c r="M114" s="1642"/>
      <c r="N114" s="1166"/>
      <c r="O114" s="1166"/>
      <c r="P114" s="1166"/>
      <c r="Q114" s="1166"/>
      <c r="R114" s="1642"/>
      <c r="S114" s="1166"/>
      <c r="T114" s="1166"/>
      <c r="U114" s="550"/>
      <c r="V114" s="1166"/>
      <c r="W114" s="1166"/>
      <c r="X114" s="1166"/>
      <c r="Y114" s="1166"/>
      <c r="Z114" s="1166"/>
      <c r="AA114" s="1638"/>
      <c r="AB114" s="572"/>
      <c r="AC114" s="572"/>
      <c r="AD114" s="572"/>
      <c r="AE114" s="572"/>
      <c r="AF114" s="1647">
        <v>11</v>
      </c>
    </row>
    <row s="1647" customFormat="1" customHeight="1" ht="11.549999999999999">
      <c r="A115" s="993"/>
      <c r="B115" s="1642"/>
      <c r="C115" s="1642"/>
      <c r="D115" s="357"/>
      <c r="K115" s="1166"/>
      <c r="L115" s="1642"/>
      <c r="M115" s="1642"/>
      <c r="N115" s="1166"/>
      <c r="O115" s="1166"/>
      <c r="P115" s="1166"/>
      <c r="Q115" s="1166"/>
      <c r="R115" s="1642"/>
      <c r="S115" s="1166"/>
      <c r="T115" s="1166"/>
      <c r="U115" s="550"/>
      <c r="V115" s="1166"/>
      <c r="W115" s="1166"/>
      <c r="X115" s="1166"/>
      <c r="Y115" s="1166"/>
      <c r="Z115" s="1166"/>
      <c r="AA115" s="1638"/>
      <c r="AB115" s="572"/>
      <c r="AC115" s="572"/>
      <c r="AD115" s="572"/>
      <c r="AE115" s="572"/>
      <c r="AF115" s="1647">
        <v>11</v>
      </c>
    </row>
    <row s="1647" customFormat="1" customHeight="1" ht="11.549999999999999">
      <c r="A116" s="993"/>
      <c r="B116" s="1642"/>
      <c r="C116" s="1642"/>
      <c r="D116" s="357"/>
      <c r="K116" s="1166"/>
      <c r="L116" s="1642"/>
      <c r="M116" s="1642"/>
      <c r="N116" s="1166"/>
      <c r="O116" s="1166"/>
      <c r="P116" s="1166"/>
      <c r="Q116" s="1166"/>
      <c r="R116" s="1642"/>
      <c r="S116" s="1166"/>
      <c r="T116" s="1166"/>
      <c r="U116" s="550"/>
      <c r="V116" s="1166"/>
      <c r="W116" s="1166"/>
      <c r="X116" s="1166"/>
      <c r="Y116" s="1166"/>
      <c r="Z116" s="1166"/>
      <c r="AA116" s="1638"/>
      <c r="AB116" s="572"/>
      <c r="AC116" s="572"/>
      <c r="AD116" s="572"/>
      <c r="AE116" s="572"/>
      <c r="AF116" s="1647">
        <v>11</v>
      </c>
    </row>
    <row s="1647" customFormat="1" customHeight="1" ht="11.549999999999999">
      <c r="A117" s="993"/>
      <c r="B117" s="1642"/>
      <c r="C117" s="1642"/>
      <c r="D117" s="357"/>
      <c r="K117" s="1166"/>
      <c r="L117" s="1642"/>
      <c r="M117" s="1642"/>
      <c r="N117" s="1166"/>
      <c r="O117" s="1166"/>
      <c r="P117" s="1166"/>
      <c r="Q117" s="1166"/>
      <c r="R117" s="1642"/>
      <c r="S117" s="1166"/>
      <c r="T117" s="1166"/>
      <c r="U117" s="550"/>
      <c r="V117" s="1166"/>
      <c r="W117" s="1166"/>
      <c r="X117" s="1166"/>
      <c r="Y117" s="1166"/>
      <c r="Z117" s="1166"/>
      <c r="AA117" s="1638"/>
      <c r="AB117" s="572"/>
      <c r="AC117" s="572"/>
      <c r="AD117" s="572"/>
      <c r="AE117" s="572"/>
      <c r="AF117" s="1647">
        <v>11</v>
      </c>
    </row>
    <row s="1647" customFormat="1" customHeight="1" ht="11.549999999999999">
      <c r="A118" s="993"/>
      <c r="B118" s="1642"/>
      <c r="C118" s="1642"/>
      <c r="D118" s="357"/>
      <c r="K118" s="1166"/>
      <c r="L118" s="1642"/>
      <c r="M118" s="1642"/>
      <c r="N118" s="1166"/>
      <c r="O118" s="1166"/>
      <c r="P118" s="1166"/>
      <c r="Q118" s="1166"/>
      <c r="R118" s="1642"/>
      <c r="S118" s="1166"/>
      <c r="T118" s="1166"/>
      <c r="U118" s="550"/>
      <c r="V118" s="1166"/>
      <c r="W118" s="1166"/>
      <c r="X118" s="1166"/>
      <c r="Y118" s="1166"/>
      <c r="Z118" s="1166"/>
      <c r="AA118" s="1638"/>
      <c r="AB118" s="572"/>
      <c r="AC118" s="572"/>
      <c r="AD118" s="572"/>
      <c r="AE118" s="572"/>
      <c r="AF118" s="1647">
        <v>11</v>
      </c>
    </row>
    <row s="1647" customFormat="1" customHeight="1" ht="11.549999999999999">
      <c r="A119" s="993"/>
      <c r="B119" s="1642"/>
      <c r="C119" s="1642"/>
      <c r="D119" s="357"/>
      <c r="K119" s="1166"/>
      <c r="L119" s="1642"/>
      <c r="M119" s="1642"/>
      <c r="N119" s="1166"/>
      <c r="O119" s="1166"/>
      <c r="P119" s="1166"/>
      <c r="Q119" s="1166"/>
      <c r="R119" s="1642"/>
      <c r="S119" s="1166"/>
      <c r="T119" s="1166"/>
      <c r="U119" s="550"/>
      <c r="V119" s="1166"/>
      <c r="W119" s="1166"/>
      <c r="X119" s="1166"/>
      <c r="Y119" s="1166"/>
      <c r="Z119" s="1166"/>
      <c r="AA119" s="1638"/>
      <c r="AB119" s="572"/>
      <c r="AC119" s="572"/>
      <c r="AD119" s="572"/>
      <c r="AE119" s="572"/>
      <c r="AF119" s="1647">
        <v>11</v>
      </c>
    </row>
    <row s="1647" customFormat="1" customHeight="1" ht="11.549999999999999">
      <c r="A120" s="993"/>
      <c r="B120" s="1642"/>
      <c r="C120" s="1642"/>
      <c r="D120" s="357"/>
      <c r="K120" s="1166"/>
      <c r="L120" s="1642"/>
      <c r="M120" s="1642"/>
      <c r="N120" s="1166"/>
      <c r="O120" s="1166"/>
      <c r="P120" s="1166"/>
      <c r="Q120" s="1166"/>
      <c r="R120" s="1642"/>
      <c r="S120" s="1166"/>
      <c r="T120" s="1166"/>
      <c r="U120" s="550"/>
      <c r="V120" s="1166"/>
      <c r="W120" s="1166"/>
      <c r="X120" s="1166"/>
      <c r="Y120" s="1166"/>
      <c r="Z120" s="1166"/>
      <c r="AA120" s="1638"/>
      <c r="AB120" s="572"/>
      <c r="AC120" s="572"/>
      <c r="AD120" s="572"/>
      <c r="AE120" s="572"/>
      <c r="AF120" s="1647">
        <v>11</v>
      </c>
    </row>
    <row s="1647" customFormat="1" customHeight="1" ht="11.549999999999999">
      <c r="A121" s="993"/>
      <c r="B121" s="1642"/>
      <c r="C121" s="1642"/>
      <c r="D121" s="357"/>
      <c r="K121" s="1166"/>
      <c r="L121" s="1642"/>
      <c r="M121" s="1642"/>
      <c r="N121" s="1166"/>
      <c r="O121" s="1166"/>
      <c r="P121" s="1166"/>
      <c r="Q121" s="1166"/>
      <c r="R121" s="1642"/>
      <c r="S121" s="1166"/>
      <c r="T121" s="1166"/>
      <c r="U121" s="550"/>
      <c r="V121" s="1166"/>
      <c r="W121" s="1166"/>
      <c r="X121" s="1166"/>
      <c r="Y121" s="1166"/>
      <c r="Z121" s="1166"/>
      <c r="AA121" s="1638"/>
      <c r="AB121" s="572"/>
      <c r="AC121" s="572"/>
      <c r="AD121" s="572"/>
      <c r="AE121" s="572"/>
      <c r="AF121" s="1647">
        <v>11</v>
      </c>
    </row>
    <row s="1647" customFormat="1" customHeight="1" ht="11.549999999999999">
      <c r="A122" s="993"/>
      <c r="B122" s="1642"/>
      <c r="C122" s="1642"/>
      <c r="D122" s="357"/>
      <c r="K122" s="1166"/>
      <c r="L122" s="1642"/>
      <c r="M122" s="1642"/>
      <c r="N122" s="1166"/>
      <c r="O122" s="1166"/>
      <c r="P122" s="1166"/>
      <c r="Q122" s="1166"/>
      <c r="R122" s="1642"/>
      <c r="S122" s="1166"/>
      <c r="T122" s="1166"/>
      <c r="U122" s="550"/>
      <c r="V122" s="1166"/>
      <c r="W122" s="1166"/>
      <c r="X122" s="1166"/>
      <c r="Y122" s="1166"/>
      <c r="Z122" s="1166"/>
      <c r="AA122" s="1638"/>
      <c r="AB122" s="572"/>
      <c r="AC122" s="572"/>
      <c r="AD122" s="572"/>
      <c r="AE122" s="572"/>
      <c r="AF122" s="1647">
        <v>11</v>
      </c>
    </row>
    <row s="1647" customFormat="1" customHeight="1" ht="11.549999999999999">
      <c r="A123" s="993"/>
      <c r="B123" s="1642"/>
      <c r="C123" s="1642"/>
      <c r="D123" s="357"/>
      <c r="K123" s="1166"/>
      <c r="L123" s="1642"/>
      <c r="M123" s="1642"/>
      <c r="N123" s="1166"/>
      <c r="O123" s="1166"/>
      <c r="P123" s="1166"/>
      <c r="Q123" s="1166"/>
      <c r="R123" s="1642"/>
      <c r="S123" s="1166"/>
      <c r="T123" s="1166"/>
      <c r="U123" s="550"/>
      <c r="V123" s="1166"/>
      <c r="W123" s="1166"/>
      <c r="X123" s="1166"/>
      <c r="Y123" s="1166"/>
      <c r="Z123" s="1166"/>
      <c r="AA123" s="1638"/>
      <c r="AB123" s="572"/>
      <c r="AC123" s="572"/>
      <c r="AD123" s="572"/>
      <c r="AE123" s="572"/>
      <c r="AF123" s="1647">
        <v>11</v>
      </c>
    </row>
    <row s="1647" customFormat="1" customHeight="1" ht="11.549999999999999">
      <c r="A124" s="993"/>
      <c r="B124" s="1642"/>
      <c r="C124" s="1642"/>
      <c r="D124" s="357"/>
      <c r="K124" s="1166"/>
      <c r="L124" s="1642"/>
      <c r="M124" s="1642"/>
      <c r="N124" s="1166"/>
      <c r="O124" s="1166"/>
      <c r="P124" s="1166"/>
      <c r="Q124" s="1166"/>
      <c r="R124" s="1642"/>
      <c r="S124" s="1166"/>
      <c r="T124" s="1166"/>
      <c r="U124" s="550"/>
      <c r="V124" s="1166"/>
      <c r="W124" s="1166"/>
      <c r="X124" s="1166"/>
      <c r="Y124" s="1166"/>
      <c r="Z124" s="1166"/>
      <c r="AA124" s="1638"/>
      <c r="AB124" s="572"/>
      <c r="AC124" s="572"/>
      <c r="AD124" s="572"/>
      <c r="AE124" s="572"/>
      <c r="AF124" s="1647">
        <v>11</v>
      </c>
    </row>
    <row s="1647" customFormat="1" customHeight="1" ht="11.549999999999999">
      <c r="A125" s="993"/>
      <c r="B125" s="1642"/>
      <c r="C125" s="1642"/>
      <c r="D125" s="357"/>
      <c r="K125" s="1166"/>
      <c r="L125" s="1642"/>
      <c r="M125" s="1642"/>
      <c r="N125" s="1166"/>
      <c r="O125" s="1166"/>
      <c r="P125" s="1166"/>
      <c r="Q125" s="1166"/>
      <c r="R125" s="1642"/>
      <c r="S125" s="1166"/>
      <c r="T125" s="1166"/>
      <c r="U125" s="550"/>
      <c r="V125" s="1166"/>
      <c r="W125" s="1166"/>
      <c r="X125" s="1166"/>
      <c r="Y125" s="1166"/>
      <c r="Z125" s="1166"/>
      <c r="AA125" s="1638"/>
      <c r="AB125" s="572"/>
      <c r="AC125" s="572"/>
      <c r="AD125" s="572"/>
      <c r="AE125" s="572"/>
      <c r="AF125" s="1647">
        <v>11</v>
      </c>
    </row>
    <row s="1647" customFormat="1" customHeight="1" ht="11.549999999999999">
      <c r="A126" s="993"/>
      <c r="B126" s="1642"/>
      <c r="C126" s="1642"/>
      <c r="D126" s="357"/>
      <c r="K126" s="1166"/>
      <c r="L126" s="1642"/>
      <c r="M126" s="1642"/>
      <c r="N126" s="1166"/>
      <c r="O126" s="1166"/>
      <c r="P126" s="1166"/>
      <c r="Q126" s="1166"/>
      <c r="R126" s="1642"/>
      <c r="S126" s="1166"/>
      <c r="T126" s="1166"/>
      <c r="U126" s="550"/>
      <c r="V126" s="1166"/>
      <c r="W126" s="1166"/>
      <c r="X126" s="1166"/>
      <c r="Y126" s="1166"/>
      <c r="Z126" s="1166"/>
      <c r="AA126" s="1638"/>
      <c r="AB126" s="572"/>
      <c r="AC126" s="572"/>
      <c r="AD126" s="572"/>
      <c r="AE126" s="572"/>
      <c r="AF126" s="1647">
        <v>11</v>
      </c>
    </row>
    <row s="1647" customFormat="1" customHeight="1" ht="11.549999999999999">
      <c r="A127" s="993"/>
      <c r="B127" s="1642"/>
      <c r="C127" s="1642"/>
      <c r="D127" s="357"/>
      <c r="K127" s="1166"/>
      <c r="L127" s="1642"/>
      <c r="M127" s="1642"/>
      <c r="N127" s="1166"/>
      <c r="O127" s="1166"/>
      <c r="P127" s="1166"/>
      <c r="Q127" s="1166"/>
      <c r="R127" s="1642"/>
      <c r="S127" s="1166"/>
      <c r="T127" s="1166"/>
      <c r="U127" s="550"/>
      <c r="V127" s="1166"/>
      <c r="W127" s="1166"/>
      <c r="X127" s="1166"/>
      <c r="Y127" s="1166"/>
      <c r="Z127" s="1166"/>
      <c r="AA127" s="1638"/>
      <c r="AB127" s="572"/>
      <c r="AC127" s="572"/>
      <c r="AD127" s="572"/>
      <c r="AE127" s="572"/>
      <c r="AF127" s="1647">
        <v>11</v>
      </c>
    </row>
    <row s="1647" customFormat="1" customHeight="1" ht="11.549999999999999">
      <c r="A128" s="993"/>
      <c r="B128" s="1642"/>
      <c r="C128" s="1642"/>
      <c r="D128" s="357"/>
      <c r="K128" s="1166"/>
      <c r="L128" s="1642"/>
      <c r="M128" s="1642"/>
      <c r="N128" s="1166"/>
      <c r="O128" s="1166"/>
      <c r="P128" s="1166"/>
      <c r="Q128" s="1166"/>
      <c r="R128" s="1642"/>
      <c r="S128" s="1166"/>
      <c r="T128" s="1166"/>
      <c r="U128" s="550"/>
      <c r="V128" s="1166"/>
      <c r="W128" s="1166"/>
      <c r="X128" s="1166"/>
      <c r="Y128" s="1166"/>
      <c r="Z128" s="1166"/>
      <c r="AA128" s="1638"/>
      <c r="AB128" s="572"/>
      <c r="AC128" s="572"/>
      <c r="AD128" s="572"/>
      <c r="AE128" s="572"/>
      <c r="AF128" s="1647">
        <v>11</v>
      </c>
    </row>
    <row s="1647" customFormat="1" customHeight="1" ht="11.549999999999999">
      <c r="A129" s="993"/>
      <c r="B129" s="1642"/>
      <c r="C129" s="1642"/>
      <c r="D129" s="357"/>
      <c r="K129" s="1166"/>
      <c r="L129" s="1642"/>
      <c r="M129" s="1642"/>
      <c r="N129" s="1166"/>
      <c r="O129" s="1166"/>
      <c r="P129" s="1166"/>
      <c r="Q129" s="1166"/>
      <c r="R129" s="1642"/>
      <c r="S129" s="1166"/>
      <c r="T129" s="1166"/>
      <c r="U129" s="550"/>
      <c r="V129" s="1166"/>
      <c r="W129" s="1166"/>
      <c r="X129" s="1166"/>
      <c r="Y129" s="1166"/>
      <c r="Z129" s="1166"/>
      <c r="AA129" s="1638"/>
      <c r="AB129" s="572"/>
      <c r="AC129" s="572"/>
      <c r="AD129" s="572"/>
      <c r="AE129" s="572"/>
      <c r="AF129" s="1647">
        <v>11</v>
      </c>
    </row>
    <row s="1647" customFormat="1" customHeight="1" ht="11.549999999999999">
      <c r="A130" s="993"/>
      <c r="B130" s="1642"/>
      <c r="C130" s="1642"/>
      <c r="D130" s="357"/>
      <c r="K130" s="1166"/>
      <c r="L130" s="1642"/>
      <c r="M130" s="1642"/>
      <c r="N130" s="1166"/>
      <c r="O130" s="1166"/>
      <c r="P130" s="1166"/>
      <c r="Q130" s="1166"/>
      <c r="R130" s="1642"/>
      <c r="S130" s="1166"/>
      <c r="T130" s="1166"/>
      <c r="U130" s="550"/>
      <c r="V130" s="1166"/>
      <c r="W130" s="1166"/>
      <c r="X130" s="1166"/>
      <c r="Y130" s="1166"/>
      <c r="Z130" s="1166"/>
      <c r="AA130" s="1638"/>
      <c r="AB130" s="572"/>
      <c r="AC130" s="572"/>
      <c r="AD130" s="572"/>
      <c r="AE130" s="572"/>
      <c r="AF130" s="1647">
        <v>11</v>
      </c>
    </row>
    <row s="1647" customFormat="1" customHeight="1" ht="11.549999999999999">
      <c r="A131" s="993"/>
      <c r="B131" s="1642"/>
      <c r="C131" s="1642"/>
      <c r="D131" s="357"/>
      <c r="K131" s="1166"/>
      <c r="L131" s="1642"/>
      <c r="M131" s="1642"/>
      <c r="N131" s="1166"/>
      <c r="O131" s="1166"/>
      <c r="P131" s="1166"/>
      <c r="Q131" s="1166"/>
      <c r="R131" s="1642"/>
      <c r="S131" s="1166"/>
      <c r="T131" s="1166"/>
      <c r="U131" s="550"/>
      <c r="V131" s="1166"/>
      <c r="W131" s="1166"/>
      <c r="X131" s="1166"/>
      <c r="Y131" s="1166"/>
      <c r="Z131" s="1166"/>
      <c r="AA131" s="1638"/>
      <c r="AB131" s="572"/>
      <c r="AC131" s="572"/>
      <c r="AD131" s="572"/>
      <c r="AE131" s="572"/>
      <c r="AF131" s="1647">
        <v>11</v>
      </c>
    </row>
    <row s="1647" customFormat="1" customHeight="1" ht="11.549999999999999">
      <c r="A132" s="993"/>
      <c r="B132" s="1642"/>
      <c r="C132" s="1642"/>
      <c r="D132" s="357"/>
      <c r="K132" s="1166"/>
      <c r="L132" s="1642"/>
      <c r="M132" s="1642"/>
      <c r="N132" s="1166"/>
      <c r="O132" s="1166"/>
      <c r="P132" s="1166"/>
      <c r="Q132" s="1166"/>
      <c r="R132" s="1642"/>
      <c r="S132" s="1166"/>
      <c r="T132" s="1166"/>
      <c r="U132" s="550"/>
      <c r="V132" s="1166"/>
      <c r="W132" s="1166"/>
      <c r="X132" s="1166"/>
      <c r="Y132" s="1166"/>
      <c r="Z132" s="1166"/>
      <c r="AA132" s="1638"/>
      <c r="AB132" s="572"/>
      <c r="AC132" s="572"/>
      <c r="AD132" s="572"/>
      <c r="AE132" s="572"/>
      <c r="AF132" s="1647">
        <v>11</v>
      </c>
    </row>
    <row s="1647" customFormat="1" customHeight="1" ht="11.549999999999999">
      <c r="A133" s="993"/>
      <c r="B133" s="1642"/>
      <c r="C133" s="1642"/>
      <c r="D133" s="357"/>
      <c r="K133" s="1166"/>
      <c r="L133" s="1642"/>
      <c r="M133" s="1642"/>
      <c r="N133" s="1166"/>
      <c r="O133" s="1166"/>
      <c r="P133" s="1166"/>
      <c r="Q133" s="1166"/>
      <c r="R133" s="1642"/>
      <c r="S133" s="1166"/>
      <c r="T133" s="1166"/>
      <c r="U133" s="550"/>
      <c r="V133" s="1166"/>
      <c r="W133" s="1166"/>
      <c r="X133" s="1166"/>
      <c r="Y133" s="1166"/>
      <c r="Z133" s="1166"/>
      <c r="AA133" s="1638"/>
      <c r="AB133" s="572"/>
      <c r="AC133" s="572"/>
      <c r="AD133" s="572"/>
      <c r="AE133" s="572"/>
      <c r="AF133" s="1647">
        <v>11</v>
      </c>
    </row>
    <row s="1647" customFormat="1" customHeight="1" ht="11.549999999999999">
      <c r="A134" s="993"/>
      <c r="B134" s="1642"/>
      <c r="C134" s="1642"/>
      <c r="D134" s="357"/>
      <c r="K134" s="1166"/>
      <c r="L134" s="1642"/>
      <c r="M134" s="1642"/>
      <c r="N134" s="1166"/>
      <c r="O134" s="1166"/>
      <c r="P134" s="1166"/>
      <c r="Q134" s="1166"/>
      <c r="R134" s="1642"/>
      <c r="S134" s="1166"/>
      <c r="T134" s="1166"/>
      <c r="U134" s="550"/>
      <c r="V134" s="1166"/>
      <c r="W134" s="1166"/>
      <c r="X134" s="1166"/>
      <c r="Y134" s="1166"/>
      <c r="Z134" s="1166"/>
      <c r="AA134" s="1638"/>
      <c r="AB134" s="572"/>
      <c r="AC134" s="572"/>
      <c r="AD134" s="572"/>
      <c r="AE134" s="572"/>
      <c r="AF134" s="1647">
        <v>11</v>
      </c>
    </row>
    <row s="1647" customFormat="1" customHeight="1" ht="11.549999999999999">
      <c r="A135" s="993"/>
      <c r="B135" s="1642"/>
      <c r="C135" s="1642"/>
      <c r="D135" s="357"/>
      <c r="K135" s="1166"/>
      <c r="L135" s="1642"/>
      <c r="M135" s="1642"/>
      <c r="N135" s="1166"/>
      <c r="O135" s="1166"/>
      <c r="P135" s="1166"/>
      <c r="Q135" s="1166"/>
      <c r="R135" s="1642"/>
      <c r="S135" s="1166"/>
      <c r="T135" s="1166"/>
      <c r="U135" s="550"/>
      <c r="V135" s="1166"/>
      <c r="W135" s="1166"/>
      <c r="X135" s="1166"/>
      <c r="Y135" s="1166"/>
      <c r="Z135" s="1166"/>
      <c r="AA135" s="1638"/>
      <c r="AB135" s="572"/>
      <c r="AC135" s="572"/>
      <c r="AD135" s="572"/>
      <c r="AE135" s="572"/>
      <c r="AF135" s="1647">
        <v>11</v>
      </c>
    </row>
    <row s="1647" customFormat="1" customHeight="1" ht="11.549999999999999">
      <c r="A136" s="993"/>
      <c r="B136" s="1642"/>
      <c r="C136" s="1642"/>
      <c r="D136" s="357"/>
      <c r="K136" s="1166"/>
      <c r="L136" s="1642"/>
      <c r="M136" s="1642"/>
      <c r="N136" s="1166"/>
      <c r="O136" s="1166"/>
      <c r="P136" s="1166"/>
      <c r="Q136" s="1166"/>
      <c r="R136" s="1642"/>
      <c r="S136" s="1166"/>
      <c r="T136" s="1166"/>
      <c r="U136" s="550"/>
      <c r="V136" s="1166"/>
      <c r="W136" s="1166"/>
      <c r="X136" s="1166"/>
      <c r="Y136" s="1166"/>
      <c r="Z136" s="1166"/>
      <c r="AA136" s="1638"/>
      <c r="AB136" s="572"/>
      <c r="AC136" s="572"/>
      <c r="AD136" s="572"/>
      <c r="AE136" s="572"/>
      <c r="AF136" s="1647">
        <v>11</v>
      </c>
    </row>
    <row s="1647" customFormat="1" customHeight="1" ht="11.549999999999999">
      <c r="A137" s="993"/>
      <c r="B137" s="1642"/>
      <c r="C137" s="1642"/>
      <c r="D137" s="357"/>
      <c r="K137" s="1166"/>
      <c r="L137" s="1642"/>
      <c r="M137" s="1642"/>
      <c r="N137" s="1166"/>
      <c r="O137" s="1166"/>
      <c r="P137" s="1166"/>
      <c r="Q137" s="1166"/>
      <c r="R137" s="1642"/>
      <c r="S137" s="1166"/>
      <c r="T137" s="1166"/>
      <c r="U137" s="550"/>
      <c r="V137" s="1166"/>
      <c r="W137" s="1166"/>
      <c r="X137" s="1166"/>
      <c r="Y137" s="1166"/>
      <c r="Z137" s="1166"/>
      <c r="AA137" s="1638"/>
      <c r="AB137" s="572"/>
      <c r="AC137" s="572"/>
      <c r="AD137" s="572"/>
      <c r="AE137" s="572"/>
      <c r="AF137" s="1647">
        <v>11</v>
      </c>
    </row>
    <row s="1647" customFormat="1" customHeight="1" ht="11.549999999999999">
      <c r="A138" s="993"/>
      <c r="B138" s="1642"/>
      <c r="C138" s="1642"/>
      <c r="D138" s="357"/>
      <c r="K138" s="1166"/>
      <c r="L138" s="1642"/>
      <c r="M138" s="1642"/>
      <c r="N138" s="1166"/>
      <c r="O138" s="1166"/>
      <c r="P138" s="1166"/>
      <c r="Q138" s="1166"/>
      <c r="R138" s="1642"/>
      <c r="S138" s="1166"/>
      <c r="T138" s="1166"/>
      <c r="U138" s="550"/>
      <c r="V138" s="1166"/>
      <c r="W138" s="1166"/>
      <c r="X138" s="1166"/>
      <c r="Y138" s="1166"/>
      <c r="Z138" s="1166"/>
      <c r="AA138" s="1638"/>
      <c r="AB138" s="572"/>
      <c r="AC138" s="572"/>
      <c r="AD138" s="572"/>
      <c r="AE138" s="572"/>
      <c r="AF138" s="1647">
        <v>11</v>
      </c>
    </row>
    <row s="1647" customFormat="1" customHeight="1" ht="11.549999999999999">
      <c r="A139" s="993"/>
      <c r="B139" s="1642"/>
      <c r="C139" s="1642"/>
      <c r="D139" s="357"/>
      <c r="K139" s="1166"/>
      <c r="L139" s="1642"/>
      <c r="M139" s="1642"/>
      <c r="N139" s="1166"/>
      <c r="O139" s="1166"/>
      <c r="P139" s="1166"/>
      <c r="Q139" s="1166"/>
      <c r="R139" s="1642"/>
      <c r="S139" s="1166"/>
      <c r="T139" s="1166"/>
      <c r="U139" s="550"/>
      <c r="V139" s="1166"/>
      <c r="W139" s="1166"/>
      <c r="X139" s="1166"/>
      <c r="Y139" s="1166"/>
      <c r="Z139" s="1166"/>
      <c r="AA139" s="1638"/>
      <c r="AB139" s="572"/>
      <c r="AC139" s="572"/>
      <c r="AD139" s="572"/>
      <c r="AE139" s="572"/>
      <c r="AF139" s="1647">
        <v>11</v>
      </c>
    </row>
    <row s="1647" customFormat="1" customHeight="1" ht="11.549999999999999">
      <c r="A140" s="993"/>
      <c r="B140" s="1642"/>
      <c r="C140" s="1642"/>
      <c r="D140" s="357"/>
      <c r="K140" s="1166"/>
      <c r="L140" s="1642"/>
      <c r="M140" s="1642"/>
      <c r="N140" s="1166"/>
      <c r="O140" s="1166"/>
      <c r="P140" s="1166"/>
      <c r="Q140" s="1166"/>
      <c r="R140" s="1642"/>
      <c r="S140" s="1166"/>
      <c r="T140" s="1166"/>
      <c r="U140" s="550"/>
      <c r="V140" s="1166"/>
      <c r="W140" s="1166"/>
      <c r="X140" s="1166"/>
      <c r="Y140" s="1166"/>
      <c r="Z140" s="1166"/>
      <c r="AA140" s="1638"/>
      <c r="AB140" s="572"/>
      <c r="AC140" s="572"/>
      <c r="AD140" s="572"/>
      <c r="AE140" s="572"/>
      <c r="AF140" s="1647">
        <v>11</v>
      </c>
    </row>
    <row s="1647" customFormat="1" customHeight="1" ht="11.549999999999999">
      <c r="A141" s="993"/>
      <c r="B141" s="1642"/>
      <c r="C141" s="1642"/>
      <c r="D141" s="357"/>
      <c r="K141" s="1166"/>
      <c r="L141" s="1642"/>
      <c r="M141" s="1642"/>
      <c r="N141" s="1166"/>
      <c r="O141" s="1166"/>
      <c r="P141" s="1166"/>
      <c r="Q141" s="1166"/>
      <c r="R141" s="1642"/>
      <c r="S141" s="1166"/>
      <c r="T141" s="1166"/>
      <c r="U141" s="550"/>
      <c r="V141" s="1166"/>
      <c r="W141" s="1166"/>
      <c r="X141" s="1166"/>
      <c r="Y141" s="1166"/>
      <c r="Z141" s="1166"/>
      <c r="AA141" s="1638"/>
      <c r="AB141" s="572"/>
      <c r="AC141" s="572"/>
      <c r="AD141" s="572"/>
      <c r="AE141" s="572"/>
      <c r="AF141" s="1647">
        <v>11</v>
      </c>
    </row>
    <row s="1647" customFormat="1" customHeight="1" ht="11.549999999999999">
      <c r="A142" s="993"/>
      <c r="B142" s="1642"/>
      <c r="C142" s="1642"/>
      <c r="D142" s="357"/>
      <c r="K142" s="1166"/>
      <c r="L142" s="1642"/>
      <c r="M142" s="1642"/>
      <c r="N142" s="1166"/>
      <c r="O142" s="1166"/>
      <c r="P142" s="1166"/>
      <c r="Q142" s="1166"/>
      <c r="R142" s="1642"/>
      <c r="S142" s="1166"/>
      <c r="T142" s="1166"/>
      <c r="U142" s="550"/>
      <c r="V142" s="1166"/>
      <c r="W142" s="1166"/>
      <c r="X142" s="1166"/>
      <c r="Y142" s="1166"/>
      <c r="Z142" s="1166"/>
      <c r="AA142" s="1638"/>
      <c r="AB142" s="572"/>
      <c r="AC142" s="572"/>
      <c r="AD142" s="572"/>
      <c r="AE142" s="572"/>
      <c r="AF142" s="1647">
        <v>11</v>
      </c>
    </row>
    <row s="1647" customFormat="1" customHeight="1" ht="11.549999999999999">
      <c r="A143" s="993"/>
      <c r="B143" s="1642"/>
      <c r="C143" s="1642"/>
      <c r="D143" s="357"/>
      <c r="K143" s="1166"/>
      <c r="L143" s="1642"/>
      <c r="M143" s="1642"/>
      <c r="N143" s="1166"/>
      <c r="O143" s="1166"/>
      <c r="P143" s="1166"/>
      <c r="Q143" s="1166"/>
      <c r="R143" s="1642"/>
      <c r="S143" s="1166"/>
      <c r="T143" s="1166"/>
      <c r="U143" s="550"/>
      <c r="V143" s="1166"/>
      <c r="W143" s="1166"/>
      <c r="X143" s="1166"/>
      <c r="Y143" s="1166"/>
      <c r="Z143" s="1166"/>
      <c r="AA143" s="1638"/>
      <c r="AB143" s="572"/>
      <c r="AC143" s="572"/>
      <c r="AD143" s="572"/>
      <c r="AE143" s="572"/>
      <c r="AF143" s="1647">
        <v>11</v>
      </c>
    </row>
    <row s="1647" customFormat="1" customHeight="1" ht="11.549999999999999">
      <c r="A144" s="993"/>
      <c r="B144" s="1642"/>
      <c r="C144" s="1642"/>
      <c r="D144" s="357"/>
      <c r="K144" s="1166"/>
      <c r="L144" s="1642"/>
      <c r="M144" s="1642"/>
      <c r="N144" s="1166"/>
      <c r="O144" s="1166"/>
      <c r="P144" s="1166"/>
      <c r="Q144" s="1166"/>
      <c r="R144" s="1642"/>
      <c r="S144" s="1166"/>
      <c r="T144" s="1166"/>
      <c r="U144" s="550"/>
      <c r="V144" s="1166"/>
      <c r="W144" s="1166"/>
      <c r="X144" s="1166"/>
      <c r="Y144" s="1166"/>
      <c r="Z144" s="1166"/>
      <c r="AA144" s="1638"/>
      <c r="AB144" s="572"/>
      <c r="AC144" s="572"/>
      <c r="AD144" s="572"/>
      <c r="AE144" s="572"/>
      <c r="AF144" s="1647">
        <v>11</v>
      </c>
    </row>
    <row s="1647" customFormat="1" customHeight="1" ht="11.549999999999999">
      <c r="A145" s="993"/>
      <c r="B145" s="1642"/>
      <c r="C145" s="1642"/>
      <c r="D145" s="357"/>
      <c r="K145" s="1166"/>
      <c r="L145" s="1642"/>
      <c r="M145" s="1642"/>
      <c r="N145" s="1166"/>
      <c r="O145" s="1166"/>
      <c r="P145" s="1166"/>
      <c r="Q145" s="1166"/>
      <c r="R145" s="1642"/>
      <c r="S145" s="1166"/>
      <c r="T145" s="1166"/>
      <c r="U145" s="550"/>
      <c r="V145" s="1166"/>
      <c r="W145" s="1166"/>
      <c r="X145" s="1166"/>
      <c r="Y145" s="1166"/>
      <c r="Z145" s="1166"/>
      <c r="AA145" s="1638"/>
      <c r="AB145" s="572"/>
      <c r="AC145" s="572"/>
      <c r="AD145" s="572"/>
      <c r="AE145" s="572"/>
      <c r="AF145" s="1647">
        <v>11</v>
      </c>
    </row>
    <row s="1647" customFormat="1" customHeight="1" ht="11.549999999999999">
      <c r="A146" s="993"/>
      <c r="B146" s="1642"/>
      <c r="C146" s="1642"/>
      <c r="D146" s="357"/>
      <c r="K146" s="1166"/>
      <c r="L146" s="1642"/>
      <c r="M146" s="1642"/>
      <c r="N146" s="1166"/>
      <c r="O146" s="1166"/>
      <c r="P146" s="1166"/>
      <c r="Q146" s="1166"/>
      <c r="R146" s="1642"/>
      <c r="S146" s="1166"/>
      <c r="T146" s="1166"/>
      <c r="U146" s="550"/>
      <c r="V146" s="1166"/>
      <c r="W146" s="1166"/>
      <c r="X146" s="1166"/>
      <c r="Y146" s="1166"/>
      <c r="Z146" s="1166"/>
      <c r="AA146" s="1638"/>
      <c r="AB146" s="572"/>
      <c r="AC146" s="572"/>
      <c r="AD146" s="572"/>
      <c r="AE146" s="572"/>
      <c r="AF146" s="1647">
        <v>11</v>
      </c>
    </row>
    <row s="1647" customFormat="1" customHeight="1" ht="11.549999999999999">
      <c r="A147" s="993"/>
      <c r="B147" s="1642"/>
      <c r="C147" s="1642"/>
      <c r="D147" s="357"/>
      <c r="K147" s="1166"/>
      <c r="L147" s="1642"/>
      <c r="M147" s="1642"/>
      <c r="N147" s="1166"/>
      <c r="O147" s="1166"/>
      <c r="P147" s="1166"/>
      <c r="Q147" s="1166"/>
      <c r="R147" s="1642"/>
      <c r="S147" s="1166"/>
      <c r="T147" s="1166"/>
      <c r="U147" s="550"/>
      <c r="V147" s="1166"/>
      <c r="W147" s="1166"/>
      <c r="X147" s="1166"/>
      <c r="Y147" s="1166"/>
      <c r="Z147" s="1166"/>
      <c r="AA147" s="1638"/>
      <c r="AB147" s="572"/>
      <c r="AC147" s="572"/>
      <c r="AD147" s="572"/>
      <c r="AE147" s="572"/>
      <c r="AF147" s="1647">
        <v>11</v>
      </c>
    </row>
    <row s="1647" customFormat="1" customHeight="1" ht="11.549999999999999">
      <c r="A148" s="993"/>
      <c r="B148" s="1642"/>
      <c r="C148" s="1642"/>
      <c r="D148" s="357"/>
      <c r="K148" s="1166"/>
      <c r="L148" s="1642"/>
      <c r="M148" s="1642"/>
      <c r="N148" s="1166"/>
      <c r="O148" s="1166"/>
      <c r="P148" s="1166"/>
      <c r="Q148" s="1166"/>
      <c r="R148" s="1642"/>
      <c r="S148" s="1166"/>
      <c r="T148" s="1166"/>
      <c r="U148" s="550"/>
      <c r="V148" s="1166"/>
      <c r="W148" s="1166"/>
      <c r="X148" s="1166"/>
      <c r="Y148" s="1166"/>
      <c r="Z148" s="1166"/>
      <c r="AA148" s="1638"/>
      <c r="AB148" s="572"/>
      <c r="AC148" s="572"/>
      <c r="AD148" s="572"/>
      <c r="AE148" s="572"/>
      <c r="AF148" s="1647">
        <v>11</v>
      </c>
    </row>
    <row s="1647" customFormat="1" customHeight="1" ht="11.549999999999999">
      <c r="A149" s="993"/>
      <c r="B149" s="1642"/>
      <c r="C149" s="1642"/>
      <c r="D149" s="357"/>
      <c r="K149" s="1166"/>
      <c r="L149" s="1642"/>
      <c r="M149" s="1642"/>
      <c r="N149" s="1166"/>
      <c r="O149" s="1166"/>
      <c r="P149" s="1166"/>
      <c r="Q149" s="1166"/>
      <c r="R149" s="1642"/>
      <c r="S149" s="1166"/>
      <c r="T149" s="1166"/>
      <c r="U149" s="550"/>
      <c r="V149" s="1166"/>
      <c r="W149" s="1166"/>
      <c r="X149" s="1166"/>
      <c r="Y149" s="1166"/>
      <c r="Z149" s="1166"/>
      <c r="AA149" s="1638"/>
      <c r="AB149" s="572"/>
      <c r="AC149" s="572"/>
      <c r="AD149" s="572"/>
      <c r="AE149" s="572"/>
      <c r="AF149" s="1647">
        <v>11</v>
      </c>
    </row>
    <row s="1647" customFormat="1" customHeight="1" ht="11.549999999999999">
      <c r="A150" s="993"/>
      <c r="B150" s="1642"/>
      <c r="C150" s="1642"/>
      <c r="D150" s="357"/>
      <c r="K150" s="1166"/>
      <c r="L150" s="1642"/>
      <c r="M150" s="1642"/>
      <c r="N150" s="1166"/>
      <c r="O150" s="1166"/>
      <c r="P150" s="1166"/>
      <c r="Q150" s="1166"/>
      <c r="R150" s="1642"/>
      <c r="S150" s="1166"/>
      <c r="T150" s="1166"/>
      <c r="U150" s="550"/>
      <c r="V150" s="1166"/>
      <c r="W150" s="1166"/>
      <c r="X150" s="1166"/>
      <c r="Y150" s="1166"/>
      <c r="Z150" s="1166"/>
      <c r="AA150" s="1638"/>
      <c r="AB150" s="572"/>
      <c r="AC150" s="572"/>
      <c r="AD150" s="572"/>
      <c r="AE150" s="572"/>
      <c r="AF150" s="1647">
        <v>11</v>
      </c>
    </row>
    <row s="1647" customFormat="1" customHeight="1" ht="11.549999999999999">
      <c r="A151" s="993"/>
      <c r="B151" s="1642"/>
      <c r="C151" s="1642"/>
      <c r="D151" s="357"/>
      <c r="K151" s="1166"/>
      <c r="L151" s="1642"/>
      <c r="M151" s="1642"/>
      <c r="N151" s="1166"/>
      <c r="O151" s="1166"/>
      <c r="P151" s="1166"/>
      <c r="Q151" s="1166"/>
      <c r="R151" s="1642"/>
      <c r="S151" s="1166"/>
      <c r="T151" s="1166"/>
      <c r="U151" s="550"/>
      <c r="V151" s="1166"/>
      <c r="W151" s="1166"/>
      <c r="X151" s="1166"/>
      <c r="Y151" s="1166"/>
      <c r="Z151" s="1166"/>
      <c r="AA151" s="1638"/>
      <c r="AB151" s="572"/>
      <c r="AC151" s="572"/>
      <c r="AD151" s="572"/>
      <c r="AE151" s="572"/>
      <c r="AF151" s="1647">
        <v>11</v>
      </c>
    </row>
    <row s="1647" customFormat="1" customHeight="1" ht="11.549999999999999">
      <c r="A152" s="993"/>
      <c r="B152" s="1642"/>
      <c r="C152" s="1642"/>
      <c r="D152" s="357"/>
      <c r="K152" s="1166"/>
      <c r="L152" s="1642"/>
      <c r="M152" s="1642"/>
      <c r="N152" s="1166"/>
      <c r="O152" s="1166"/>
      <c r="P152" s="1166"/>
      <c r="Q152" s="1166"/>
      <c r="R152" s="1642"/>
      <c r="S152" s="1166"/>
      <c r="T152" s="1166"/>
      <c r="U152" s="550"/>
      <c r="V152" s="1166"/>
      <c r="W152" s="1166"/>
      <c r="X152" s="1166"/>
      <c r="Y152" s="1166"/>
      <c r="Z152" s="1166"/>
      <c r="AA152" s="1638"/>
      <c r="AB152" s="572"/>
      <c r="AC152" s="572"/>
      <c r="AD152" s="572"/>
      <c r="AE152" s="572"/>
      <c r="AF152" s="1647">
        <v>11</v>
      </c>
    </row>
    <row s="1647" customFormat="1" customHeight="1" ht="11.549999999999999">
      <c r="A153" s="993"/>
      <c r="B153" s="1642"/>
      <c r="C153" s="1642"/>
      <c r="D153" s="357"/>
      <c r="K153" s="1166"/>
      <c r="L153" s="1642"/>
      <c r="M153" s="1642"/>
      <c r="N153" s="1166"/>
      <c r="O153" s="1166"/>
      <c r="P153" s="1166"/>
      <c r="Q153" s="1166"/>
      <c r="R153" s="1642"/>
      <c r="S153" s="1166"/>
      <c r="T153" s="1166"/>
      <c r="U153" s="550"/>
      <c r="V153" s="1166"/>
      <c r="W153" s="1166"/>
      <c r="X153" s="1166"/>
      <c r="Y153" s="1166"/>
      <c r="Z153" s="1166"/>
      <c r="AA153" s="1638"/>
      <c r="AB153" s="572"/>
      <c r="AC153" s="572"/>
      <c r="AD153" s="572"/>
      <c r="AE153" s="572"/>
      <c r="AF153" s="1647">
        <v>11</v>
      </c>
    </row>
    <row s="1647" customFormat="1" customHeight="1" ht="11.549999999999999">
      <c r="A154" s="993"/>
      <c r="B154" s="1642"/>
      <c r="C154" s="1642"/>
      <c r="D154" s="357"/>
      <c r="K154" s="1166"/>
      <c r="L154" s="1642"/>
      <c r="M154" s="1642"/>
      <c r="N154" s="1166"/>
      <c r="O154" s="1166"/>
      <c r="P154" s="1166"/>
      <c r="Q154" s="1166"/>
      <c r="R154" s="1642"/>
      <c r="S154" s="1166"/>
      <c r="T154" s="1166"/>
      <c r="U154" s="550"/>
      <c r="V154" s="1166"/>
      <c r="W154" s="1166"/>
      <c r="X154" s="1166"/>
      <c r="Y154" s="1166"/>
      <c r="Z154" s="1166"/>
      <c r="AA154" s="1638"/>
      <c r="AB154" s="572"/>
      <c r="AC154" s="572"/>
      <c r="AD154" s="572"/>
      <c r="AE154" s="572"/>
      <c r="AF154" s="1647">
        <v>11</v>
      </c>
    </row>
    <row s="1647" customFormat="1" customHeight="1" ht="11.549999999999999">
      <c r="A155" s="993"/>
      <c r="B155" s="1642"/>
      <c r="C155" s="1642"/>
      <c r="D155" s="357"/>
      <c r="K155" s="1166"/>
      <c r="L155" s="1642"/>
      <c r="M155" s="1642"/>
      <c r="N155" s="1166"/>
      <c r="O155" s="1166"/>
      <c r="P155" s="1166"/>
      <c r="Q155" s="1166"/>
      <c r="R155" s="1642"/>
      <c r="S155" s="1166"/>
      <c r="T155" s="1166"/>
      <c r="U155" s="550"/>
      <c r="V155" s="1166"/>
      <c r="W155" s="1166"/>
      <c r="X155" s="1166"/>
      <c r="Y155" s="1166"/>
      <c r="Z155" s="1166"/>
      <c r="AA155" s="1638"/>
      <c r="AB155" s="572"/>
      <c r="AC155" s="572"/>
      <c r="AD155" s="572"/>
      <c r="AE155" s="572"/>
      <c r="AF155" s="1647">
        <v>11</v>
      </c>
    </row>
    <row s="1647" customFormat="1" customHeight="1" ht="11.549999999999999">
      <c r="A156" s="993"/>
      <c r="B156" s="1642"/>
      <c r="C156" s="1642"/>
      <c r="D156" s="357"/>
      <c r="K156" s="1166"/>
      <c r="L156" s="1642"/>
      <c r="M156" s="1642"/>
      <c r="N156" s="1166"/>
      <c r="O156" s="1166"/>
      <c r="P156" s="1166"/>
      <c r="Q156" s="1166"/>
      <c r="R156" s="1642"/>
      <c r="S156" s="1166"/>
      <c r="T156" s="1166"/>
      <c r="U156" s="550"/>
      <c r="V156" s="1166"/>
      <c r="W156" s="1166"/>
      <c r="X156" s="1166"/>
      <c r="Y156" s="1166"/>
      <c r="Z156" s="1166"/>
      <c r="AA156" s="1638"/>
      <c r="AB156" s="572"/>
      <c r="AC156" s="572"/>
      <c r="AD156" s="572"/>
      <c r="AE156" s="572"/>
      <c r="AF156" s="1647">
        <v>11</v>
      </c>
    </row>
    <row s="1647" customFormat="1" customHeight="1" ht="11.549999999999999">
      <c r="A157" s="993"/>
      <c r="B157" s="1642"/>
      <c r="C157" s="1642"/>
      <c r="D157" s="357"/>
      <c r="K157" s="1166"/>
      <c r="L157" s="1642"/>
      <c r="M157" s="1642"/>
      <c r="N157" s="1166"/>
      <c r="O157" s="1166"/>
      <c r="P157" s="1166"/>
      <c r="Q157" s="1166"/>
      <c r="R157" s="1642"/>
      <c r="S157" s="1166"/>
      <c r="T157" s="1166"/>
      <c r="U157" s="550"/>
      <c r="V157" s="1166"/>
      <c r="W157" s="1166"/>
      <c r="X157" s="1166"/>
      <c r="Y157" s="1166"/>
      <c r="Z157" s="1166"/>
      <c r="AA157" s="1638"/>
      <c r="AB157" s="572"/>
      <c r="AC157" s="572"/>
      <c r="AD157" s="572"/>
      <c r="AE157" s="572"/>
      <c r="AF157" s="1647">
        <v>11</v>
      </c>
    </row>
    <row s="1647" customFormat="1" customHeight="1" ht="11.549999999999999">
      <c r="A158" s="993"/>
      <c r="B158" s="1642"/>
      <c r="C158" s="1642"/>
      <c r="D158" s="357"/>
      <c r="K158" s="1166"/>
      <c r="L158" s="1642"/>
      <c r="M158" s="1642"/>
      <c r="N158" s="1166"/>
      <c r="O158" s="1166"/>
      <c r="P158" s="1166"/>
      <c r="Q158" s="1166"/>
      <c r="R158" s="1642"/>
      <c r="S158" s="1166"/>
      <c r="T158" s="1166"/>
      <c r="U158" s="550"/>
      <c r="V158" s="1166"/>
      <c r="W158" s="1166"/>
      <c r="X158" s="1166"/>
      <c r="Y158" s="1166"/>
      <c r="Z158" s="1166"/>
      <c r="AA158" s="1638"/>
      <c r="AB158" s="572"/>
      <c r="AC158" s="572"/>
      <c r="AD158" s="572"/>
      <c r="AE158" s="572"/>
      <c r="AF158" s="1647">
        <v>11</v>
      </c>
    </row>
    <row s="1647" customFormat="1" customHeight="1" ht="11.549999999999999">
      <c r="A159" s="993"/>
      <c r="B159" s="1642"/>
      <c r="C159" s="1642"/>
      <c r="D159" s="357"/>
      <c r="K159" s="1166"/>
      <c r="L159" s="1642"/>
      <c r="M159" s="1642"/>
      <c r="N159" s="1166"/>
      <c r="O159" s="1166"/>
      <c r="P159" s="1166"/>
      <c r="Q159" s="1166"/>
      <c r="R159" s="1642"/>
      <c r="S159" s="1166"/>
      <c r="T159" s="1166"/>
      <c r="U159" s="550"/>
      <c r="V159" s="1166"/>
      <c r="W159" s="1166"/>
      <c r="X159" s="1166"/>
      <c r="Y159" s="1166"/>
      <c r="Z159" s="1166"/>
      <c r="AA159" s="1638"/>
      <c r="AB159" s="572"/>
      <c r="AC159" s="572"/>
      <c r="AD159" s="572"/>
      <c r="AE159" s="572"/>
      <c r="AF159" s="1647">
        <v>11</v>
      </c>
    </row>
    <row s="1647" customFormat="1" customHeight="1" ht="11.549999999999999">
      <c r="A160" s="993"/>
      <c r="B160" s="1642"/>
      <c r="C160" s="1642"/>
      <c r="D160" s="357"/>
      <c r="K160" s="1166"/>
      <c r="L160" s="1642"/>
      <c r="M160" s="1642"/>
      <c r="N160" s="1166"/>
      <c r="O160" s="1166"/>
      <c r="P160" s="1166"/>
      <c r="Q160" s="1166"/>
      <c r="R160" s="1642"/>
      <c r="S160" s="1166"/>
      <c r="T160" s="1166"/>
      <c r="U160" s="550"/>
      <c r="V160" s="1166"/>
      <c r="W160" s="1166"/>
      <c r="X160" s="1166"/>
      <c r="Y160" s="1166"/>
      <c r="Z160" s="1166"/>
      <c r="AA160" s="1638"/>
      <c r="AB160" s="572"/>
      <c r="AC160" s="572"/>
      <c r="AD160" s="572"/>
      <c r="AE160" s="572"/>
      <c r="AF160" s="1647">
        <v>11</v>
      </c>
    </row>
    <row s="1647" customFormat="1" customHeight="1" ht="11.549999999999999">
      <c r="A161" s="993"/>
      <c r="B161" s="1642"/>
      <c r="C161" s="1642"/>
      <c r="D161" s="357"/>
      <c r="K161" s="1166"/>
      <c r="L161" s="1642"/>
      <c r="M161" s="1642"/>
      <c r="N161" s="1166"/>
      <c r="O161" s="1166"/>
      <c r="P161" s="1166"/>
      <c r="Q161" s="1166"/>
      <c r="R161" s="1642"/>
      <c r="S161" s="1166"/>
      <c r="T161" s="1166"/>
      <c r="U161" s="550"/>
      <c r="V161" s="1166"/>
      <c r="W161" s="1166"/>
      <c r="X161" s="1166"/>
      <c r="Y161" s="1166"/>
      <c r="Z161" s="1166"/>
      <c r="AA161" s="1638"/>
      <c r="AB161" s="572"/>
      <c r="AC161" s="572"/>
      <c r="AD161" s="572"/>
      <c r="AE161" s="572"/>
      <c r="AF161" s="1647">
        <v>11</v>
      </c>
    </row>
    <row s="1647" customFormat="1" customHeight="1" ht="11.549999999999999">
      <c r="A162" s="993"/>
      <c r="B162" s="1642"/>
      <c r="C162" s="1642"/>
      <c r="D162" s="357"/>
      <c r="K162" s="1166"/>
      <c r="L162" s="1642"/>
      <c r="M162" s="1642"/>
      <c r="N162" s="1166"/>
      <c r="O162" s="1166"/>
      <c r="P162" s="1166"/>
      <c r="Q162" s="1166"/>
      <c r="R162" s="1642"/>
      <c r="S162" s="1166"/>
      <c r="T162" s="1166"/>
      <c r="U162" s="550"/>
      <c r="V162" s="1166"/>
      <c r="W162" s="1166"/>
      <c r="X162" s="1166"/>
      <c r="Y162" s="1166"/>
      <c r="Z162" s="1166"/>
      <c r="AA162" s="1638"/>
      <c r="AB162" s="572"/>
      <c r="AC162" s="572"/>
      <c r="AD162" s="572"/>
      <c r="AE162" s="572"/>
      <c r="AF162" s="1647">
        <v>11</v>
      </c>
    </row>
    <row s="1647" customFormat="1" customHeight="1" ht="11.549999999999999">
      <c r="A163" s="993"/>
      <c r="B163" s="1642"/>
      <c r="C163" s="1642"/>
      <c r="D163" s="357"/>
      <c r="K163" s="1166"/>
      <c r="L163" s="1642"/>
      <c r="M163" s="1642"/>
      <c r="N163" s="1166"/>
      <c r="O163" s="1166"/>
      <c r="P163" s="1166"/>
      <c r="Q163" s="1166"/>
      <c r="R163" s="1642"/>
      <c r="S163" s="1166"/>
      <c r="T163" s="1166"/>
      <c r="U163" s="550"/>
      <c r="V163" s="1166"/>
      <c r="W163" s="1166"/>
      <c r="X163" s="1166"/>
      <c r="Y163" s="1166"/>
      <c r="Z163" s="1166"/>
      <c r="AA163" s="1638"/>
      <c r="AB163" s="572"/>
      <c r="AC163" s="572"/>
      <c r="AD163" s="572"/>
      <c r="AE163" s="572"/>
      <c r="AF163" s="1647">
        <v>11</v>
      </c>
    </row>
    <row s="1647" customFormat="1" customHeight="1" ht="11.549999999999999">
      <c r="A164" s="993"/>
      <c r="B164" s="1642"/>
      <c r="C164" s="1642"/>
      <c r="D164" s="357"/>
      <c r="K164" s="1166"/>
      <c r="L164" s="1642"/>
      <c r="M164" s="1642"/>
      <c r="N164" s="1166"/>
      <c r="O164" s="1166"/>
      <c r="P164" s="1166"/>
      <c r="Q164" s="1166"/>
      <c r="R164" s="1642"/>
      <c r="S164" s="1166"/>
      <c r="T164" s="1166"/>
      <c r="U164" s="550"/>
      <c r="V164" s="1166"/>
      <c r="W164" s="1166"/>
      <c r="X164" s="1166"/>
      <c r="Y164" s="1166"/>
      <c r="Z164" s="1166"/>
      <c r="AA164" s="1638"/>
      <c r="AB164" s="572"/>
      <c r="AC164" s="572"/>
      <c r="AD164" s="572"/>
      <c r="AE164" s="572"/>
      <c r="AF164" s="1647">
        <v>11</v>
      </c>
    </row>
    <row s="1647" customFormat="1" customHeight="1" ht="11.549999999999999">
      <c r="A165" s="993"/>
      <c r="B165" s="1642"/>
      <c r="C165" s="1642"/>
      <c r="D165" s="357"/>
      <c r="K165" s="1166"/>
      <c r="L165" s="1642"/>
      <c r="M165" s="1642"/>
      <c r="N165" s="1166"/>
      <c r="O165" s="1166"/>
      <c r="P165" s="1166"/>
      <c r="Q165" s="1166"/>
      <c r="R165" s="1642"/>
      <c r="S165" s="1166"/>
      <c r="T165" s="1166"/>
      <c r="U165" s="550"/>
      <c r="V165" s="1166"/>
      <c r="W165" s="1166"/>
      <c r="X165" s="1166"/>
      <c r="Y165" s="1166"/>
      <c r="Z165" s="1166"/>
      <c r="AA165" s="1638"/>
      <c r="AB165" s="572"/>
      <c r="AC165" s="572"/>
      <c r="AD165" s="572"/>
      <c r="AE165" s="572"/>
      <c r="AF165" s="1647">
        <v>11</v>
      </c>
    </row>
    <row s="1647" customFormat="1" customHeight="1" ht="11.549999999999999">
      <c r="A166" s="993"/>
      <c r="B166" s="1642"/>
      <c r="C166" s="1642"/>
      <c r="D166" s="357"/>
      <c r="K166" s="1166"/>
      <c r="L166" s="1642"/>
      <c r="M166" s="1642"/>
      <c r="N166" s="1166"/>
      <c r="O166" s="1166"/>
      <c r="P166" s="1166"/>
      <c r="Q166" s="1166"/>
      <c r="R166" s="1642"/>
      <c r="S166" s="1166"/>
      <c r="T166" s="1166"/>
      <c r="U166" s="550"/>
      <c r="V166" s="1166"/>
      <c r="W166" s="1166"/>
      <c r="X166" s="1166"/>
      <c r="Y166" s="1166"/>
      <c r="Z166" s="1166"/>
      <c r="AA166" s="1638"/>
      <c r="AB166" s="572"/>
      <c r="AC166" s="572"/>
      <c r="AD166" s="572"/>
      <c r="AE166" s="572"/>
      <c r="AF166" s="1647">
        <v>11</v>
      </c>
    </row>
    <row s="1647" customFormat="1" customHeight="1" ht="11.549999999999999">
      <c r="A167" s="993"/>
      <c r="B167" s="1642"/>
      <c r="C167" s="1642"/>
      <c r="D167" s="357"/>
      <c r="K167" s="1166"/>
      <c r="L167" s="1642"/>
      <c r="M167" s="1642"/>
      <c r="N167" s="1166"/>
      <c r="O167" s="1166"/>
      <c r="P167" s="1166"/>
      <c r="Q167" s="1166"/>
      <c r="R167" s="1642"/>
      <c r="S167" s="1166"/>
      <c r="T167" s="1166"/>
      <c r="U167" s="550"/>
      <c r="V167" s="1166"/>
      <c r="W167" s="1166"/>
      <c r="X167" s="1166"/>
      <c r="Y167" s="1166"/>
      <c r="Z167" s="1166"/>
      <c r="AA167" s="1638"/>
      <c r="AB167" s="572"/>
      <c r="AC167" s="572"/>
      <c r="AD167" s="572"/>
      <c r="AE167" s="572"/>
      <c r="AF167" s="1647">
        <v>11</v>
      </c>
    </row>
    <row s="1647" customFormat="1" customHeight="1" ht="11.549999999999999">
      <c r="A168" s="993"/>
      <c r="B168" s="1642"/>
      <c r="C168" s="1642"/>
      <c r="D168" s="357"/>
      <c r="K168" s="1166"/>
      <c r="L168" s="1642"/>
      <c r="M168" s="1642"/>
      <c r="N168" s="1166"/>
      <c r="O168" s="1166"/>
      <c r="P168" s="1166"/>
      <c r="Q168" s="1166"/>
      <c r="R168" s="1642"/>
      <c r="S168" s="1166"/>
      <c r="T168" s="1166"/>
      <c r="U168" s="550"/>
      <c r="V168" s="1166"/>
      <c r="W168" s="1166"/>
      <c r="X168" s="1166"/>
      <c r="Y168" s="1166"/>
      <c r="Z168" s="1166"/>
      <c r="AA168" s="1638"/>
      <c r="AB168" s="572"/>
      <c r="AC168" s="572"/>
      <c r="AD168" s="572"/>
      <c r="AE168" s="572"/>
      <c r="AF168" s="1647">
        <v>11</v>
      </c>
    </row>
    <row s="1647" customFormat="1" customHeight="1" ht="11.549999999999999">
      <c r="A169" s="993"/>
      <c r="B169" s="1642"/>
      <c r="C169" s="1642"/>
      <c r="D169" s="357"/>
      <c r="K169" s="1166"/>
      <c r="L169" s="1642"/>
      <c r="M169" s="1642"/>
      <c r="N169" s="1166"/>
      <c r="O169" s="1166"/>
      <c r="P169" s="1166"/>
      <c r="Q169" s="1166"/>
      <c r="R169" s="1642"/>
      <c r="S169" s="1166"/>
      <c r="T169" s="1166"/>
      <c r="U169" s="550"/>
      <c r="V169" s="1166"/>
      <c r="W169" s="1166"/>
      <c r="X169" s="1166"/>
      <c r="Y169" s="1166"/>
      <c r="Z169" s="1166"/>
      <c r="AA169" s="1638"/>
      <c r="AB169" s="572"/>
      <c r="AC169" s="572"/>
      <c r="AD169" s="572"/>
      <c r="AE169" s="572"/>
      <c r="AF169" s="1647">
        <v>11</v>
      </c>
    </row>
    <row s="1647" customFormat="1" customHeight="1" ht="11.549999999999999">
      <c r="A170" s="993"/>
      <c r="B170" s="1642"/>
      <c r="C170" s="1642"/>
      <c r="D170" s="357"/>
      <c r="K170" s="1166"/>
      <c r="L170" s="1642"/>
      <c r="M170" s="1642"/>
      <c r="N170" s="1166"/>
      <c r="O170" s="1166"/>
      <c r="P170" s="1166"/>
      <c r="Q170" s="1166"/>
      <c r="R170" s="1642"/>
      <c r="S170" s="1166"/>
      <c r="T170" s="1166"/>
      <c r="U170" s="550"/>
      <c r="V170" s="1166"/>
      <c r="W170" s="1166"/>
      <c r="X170" s="1166"/>
      <c r="Y170" s="1166"/>
      <c r="Z170" s="1166"/>
      <c r="AA170" s="1638"/>
      <c r="AB170" s="572"/>
      <c r="AC170" s="572"/>
      <c r="AD170" s="572"/>
      <c r="AE170" s="572"/>
      <c r="AF170" s="1647">
        <v>11</v>
      </c>
    </row>
    <row s="1647" customFormat="1" customHeight="1" ht="11.549999999999999">
      <c r="A171" s="993"/>
      <c r="B171" s="1642"/>
      <c r="C171" s="1642"/>
      <c r="D171" s="357"/>
      <c r="K171" s="1166"/>
      <c r="L171" s="1642"/>
      <c r="M171" s="1642"/>
      <c r="N171" s="1166"/>
      <c r="O171" s="1166"/>
      <c r="P171" s="1166"/>
      <c r="Q171" s="1166"/>
      <c r="R171" s="1642"/>
      <c r="S171" s="1166"/>
      <c r="T171" s="1166"/>
      <c r="U171" s="550"/>
      <c r="V171" s="1166"/>
      <c r="W171" s="1166"/>
      <c r="X171" s="1166"/>
      <c r="Y171" s="1166"/>
      <c r="Z171" s="1166"/>
      <c r="AA171" s="1638"/>
      <c r="AB171" s="572"/>
      <c r="AC171" s="572"/>
      <c r="AD171" s="572"/>
      <c r="AE171" s="572"/>
      <c r="AF171" s="1647">
        <v>11</v>
      </c>
    </row>
    <row s="1647" customFormat="1" customHeight="1" ht="11.549999999999999">
      <c r="A172" s="993"/>
      <c r="B172" s="1642"/>
      <c r="C172" s="1642"/>
      <c r="D172" s="357"/>
      <c r="K172" s="1166"/>
      <c r="L172" s="1642"/>
      <c r="M172" s="1642"/>
      <c r="N172" s="1166"/>
      <c r="O172" s="1166"/>
      <c r="P172" s="1166"/>
      <c r="Q172" s="1166"/>
      <c r="R172" s="1642"/>
      <c r="S172" s="1166"/>
      <c r="T172" s="1166"/>
      <c r="U172" s="550"/>
      <c r="V172" s="1166"/>
      <c r="W172" s="1166"/>
      <c r="X172" s="1166"/>
      <c r="Y172" s="1166"/>
      <c r="Z172" s="1166"/>
      <c r="AA172" s="1638"/>
      <c r="AB172" s="572"/>
      <c r="AC172" s="572"/>
      <c r="AD172" s="572"/>
      <c r="AE172" s="572"/>
      <c r="AF172" s="1647">
        <v>11</v>
      </c>
    </row>
    <row s="1647" customFormat="1" customHeight="1" ht="11.549999999999999">
      <c r="A173" s="993"/>
      <c r="B173" s="1642"/>
      <c r="C173" s="1642"/>
      <c r="D173" s="357"/>
      <c r="K173" s="1166"/>
      <c r="L173" s="1642"/>
      <c r="M173" s="1642"/>
      <c r="N173" s="1166"/>
      <c r="O173" s="1166"/>
      <c r="P173" s="1166"/>
      <c r="Q173" s="1166"/>
      <c r="R173" s="1642"/>
      <c r="S173" s="1166"/>
      <c r="T173" s="1166"/>
      <c r="U173" s="550"/>
      <c r="V173" s="1166"/>
      <c r="W173" s="1166"/>
      <c r="X173" s="1166"/>
      <c r="Y173" s="1166"/>
      <c r="Z173" s="1166"/>
      <c r="AA173" s="1638"/>
      <c r="AB173" s="572"/>
      <c r="AC173" s="572"/>
      <c r="AD173" s="572"/>
      <c r="AE173" s="572"/>
      <c r="AF173" s="1647">
        <v>11</v>
      </c>
    </row>
    <row s="1647" customFormat="1" customHeight="1" ht="11.549999999999999">
      <c r="A174" s="993"/>
      <c r="B174" s="1642"/>
      <c r="C174" s="1642"/>
      <c r="D174" s="357"/>
      <c r="K174" s="1166"/>
      <c r="L174" s="1642"/>
      <c r="M174" s="1642"/>
      <c r="N174" s="1166"/>
      <c r="O174" s="1166"/>
      <c r="P174" s="1166"/>
      <c r="Q174" s="1166"/>
      <c r="R174" s="1642"/>
      <c r="S174" s="1166"/>
      <c r="T174" s="1166"/>
      <c r="U174" s="550"/>
      <c r="V174" s="1166"/>
      <c r="W174" s="1166"/>
      <c r="X174" s="1166"/>
      <c r="Y174" s="1166"/>
      <c r="Z174" s="1166"/>
      <c r="AA174" s="1638"/>
      <c r="AB174" s="572"/>
      <c r="AC174" s="572"/>
      <c r="AD174" s="572"/>
      <c r="AE174" s="572"/>
      <c r="AF174" s="1647">
        <v>11</v>
      </c>
    </row>
    <row s="1647" customFormat="1" customHeight="1" ht="11.549999999999999">
      <c r="A175" s="993"/>
      <c r="B175" s="1642"/>
      <c r="C175" s="1642"/>
      <c r="D175" s="357"/>
      <c r="K175" s="1166"/>
      <c r="L175" s="1642"/>
      <c r="M175" s="1642"/>
      <c r="N175" s="1166"/>
      <c r="O175" s="1166"/>
      <c r="P175" s="1166"/>
      <c r="Q175" s="1166"/>
      <c r="R175" s="1642"/>
      <c r="S175" s="1166"/>
      <c r="T175" s="1166"/>
      <c r="U175" s="550"/>
      <c r="V175" s="1166"/>
      <c r="W175" s="1166"/>
      <c r="X175" s="1166"/>
      <c r="Y175" s="1166"/>
      <c r="Z175" s="1166"/>
      <c r="AA175" s="1638"/>
      <c r="AB175" s="572"/>
      <c r="AC175" s="572"/>
      <c r="AD175" s="572"/>
      <c r="AE175" s="572"/>
      <c r="AF175" s="1647">
        <v>11</v>
      </c>
    </row>
    <row s="1647" customFormat="1" customHeight="1" ht="11.549999999999999">
      <c r="A176" s="993"/>
      <c r="B176" s="1642"/>
      <c r="C176" s="1642"/>
      <c r="D176" s="357"/>
      <c r="K176" s="1166"/>
      <c r="L176" s="1642"/>
      <c r="M176" s="1642"/>
      <c r="N176" s="1166"/>
      <c r="O176" s="1166"/>
      <c r="P176" s="1166"/>
      <c r="Q176" s="1166"/>
      <c r="R176" s="1642"/>
      <c r="S176" s="1166"/>
      <c r="T176" s="1166"/>
      <c r="U176" s="550"/>
      <c r="V176" s="1166"/>
      <c r="W176" s="1166"/>
      <c r="X176" s="1166"/>
      <c r="Y176" s="1166"/>
      <c r="Z176" s="1166"/>
      <c r="AA176" s="1638"/>
      <c r="AB176" s="572"/>
      <c r="AC176" s="572"/>
      <c r="AD176" s="572"/>
      <c r="AE176" s="572"/>
      <c r="AF176" s="1647">
        <v>11</v>
      </c>
    </row>
    <row s="1647" customFormat="1" customHeight="1" ht="11.549999999999999">
      <c r="A177" s="993"/>
      <c r="B177" s="1642"/>
      <c r="C177" s="1642"/>
      <c r="D177" s="357"/>
      <c r="K177" s="1166"/>
      <c r="L177" s="1642"/>
      <c r="M177" s="1642"/>
      <c r="N177" s="1166"/>
      <c r="O177" s="1166"/>
      <c r="P177" s="1166"/>
      <c r="Q177" s="1166"/>
      <c r="R177" s="1642"/>
      <c r="S177" s="1166"/>
      <c r="T177" s="1166"/>
      <c r="U177" s="550"/>
      <c r="V177" s="1166"/>
      <c r="W177" s="1166"/>
      <c r="X177" s="1166"/>
      <c r="Y177" s="1166"/>
      <c r="Z177" s="1166"/>
      <c r="AA177" s="1638"/>
      <c r="AB177" s="572"/>
      <c r="AC177" s="572"/>
      <c r="AD177" s="572"/>
      <c r="AE177" s="572"/>
      <c r="AF177" s="1647">
        <v>11</v>
      </c>
    </row>
    <row s="1647" customFormat="1" customHeight="1" ht="11.549999999999999">
      <c r="A178" s="993"/>
      <c r="B178" s="1642"/>
      <c r="C178" s="1642"/>
      <c r="D178" s="357"/>
      <c r="K178" s="1166"/>
      <c r="L178" s="1642"/>
      <c r="M178" s="1642"/>
      <c r="N178" s="1166"/>
      <c r="O178" s="1166"/>
      <c r="P178" s="1166"/>
      <c r="Q178" s="1166"/>
      <c r="R178" s="1642"/>
      <c r="S178" s="1166"/>
      <c r="T178" s="1166"/>
      <c r="U178" s="550"/>
      <c r="V178" s="1166"/>
      <c r="W178" s="1166"/>
      <c r="X178" s="1166"/>
      <c r="Y178" s="1166"/>
      <c r="Z178" s="1166"/>
      <c r="AA178" s="1638"/>
      <c r="AB178" s="572"/>
      <c r="AC178" s="572"/>
      <c r="AD178" s="572"/>
      <c r="AE178" s="572"/>
      <c r="AF178" s="1647">
        <v>11</v>
      </c>
    </row>
    <row s="1647" customFormat="1" customHeight="1" ht="11.549999999999999">
      <c r="A179" s="993"/>
      <c r="B179" s="1642"/>
      <c r="C179" s="1642"/>
      <c r="D179" s="357"/>
      <c r="K179" s="1166"/>
      <c r="L179" s="1642"/>
      <c r="M179" s="1642"/>
      <c r="N179" s="1166"/>
      <c r="O179" s="1166"/>
      <c r="P179" s="1166"/>
      <c r="Q179" s="1166"/>
      <c r="R179" s="1642"/>
      <c r="S179" s="1166"/>
      <c r="T179" s="1166"/>
      <c r="U179" s="550"/>
      <c r="V179" s="1166"/>
      <c r="W179" s="1166"/>
      <c r="X179" s="1166"/>
      <c r="Y179" s="1166"/>
      <c r="Z179" s="1166"/>
      <c r="AA179" s="1638"/>
      <c r="AB179" s="572"/>
      <c r="AC179" s="572"/>
      <c r="AD179" s="572"/>
      <c r="AE179" s="572"/>
      <c r="AF179" s="1647">
        <v>11</v>
      </c>
    </row>
    <row s="1647" customFormat="1" customHeight="1" ht="11.549999999999999">
      <c r="A180" s="993"/>
      <c r="B180" s="1642"/>
      <c r="C180" s="1642"/>
      <c r="D180" s="357"/>
      <c r="K180" s="1166"/>
      <c r="L180" s="1642"/>
      <c r="M180" s="1642"/>
      <c r="N180" s="1166"/>
      <c r="O180" s="1166"/>
      <c r="P180" s="1166"/>
      <c r="Q180" s="1166"/>
      <c r="R180" s="1642"/>
      <c r="S180" s="1166"/>
      <c r="T180" s="1166"/>
      <c r="U180" s="550"/>
      <c r="V180" s="1166"/>
      <c r="W180" s="1166"/>
      <c r="X180" s="1166"/>
      <c r="Y180" s="1166"/>
      <c r="Z180" s="1166"/>
      <c r="AA180" s="1638"/>
      <c r="AB180" s="572"/>
      <c r="AC180" s="572"/>
      <c r="AD180" s="572"/>
      <c r="AE180" s="572"/>
      <c r="AF180" s="1647">
        <v>11</v>
      </c>
    </row>
    <row s="1647" customFormat="1" customHeight="1" ht="11.549999999999999">
      <c r="A181" s="993"/>
      <c r="B181" s="1642"/>
      <c r="C181" s="1642"/>
      <c r="D181" s="357"/>
      <c r="K181" s="1166"/>
      <c r="L181" s="1642"/>
      <c r="M181" s="1642"/>
      <c r="N181" s="1166"/>
      <c r="O181" s="1166"/>
      <c r="P181" s="1166"/>
      <c r="Q181" s="1166"/>
      <c r="R181" s="1642"/>
      <c r="S181" s="1166"/>
      <c r="T181" s="1166"/>
      <c r="U181" s="550"/>
      <c r="V181" s="1166"/>
      <c r="W181" s="1166"/>
      <c r="X181" s="1166"/>
      <c r="Y181" s="1166"/>
      <c r="Z181" s="1166"/>
      <c r="AA181" s="1638"/>
      <c r="AB181" s="572"/>
      <c r="AC181" s="572"/>
      <c r="AD181" s="572"/>
      <c r="AE181" s="572"/>
      <c r="AF181" s="1647">
        <v>11</v>
      </c>
    </row>
    <row s="1647" customFormat="1" customHeight="1" ht="11.549999999999999">
      <c r="A182" s="993"/>
      <c r="B182" s="1642"/>
      <c r="C182" s="1642"/>
      <c r="D182" s="357"/>
      <c r="K182" s="1166"/>
      <c r="L182" s="1642"/>
      <c r="M182" s="1642"/>
      <c r="N182" s="1166"/>
      <c r="O182" s="1166"/>
      <c r="P182" s="1166"/>
      <c r="Q182" s="1166"/>
      <c r="R182" s="1642"/>
      <c r="S182" s="1166"/>
      <c r="T182" s="1166"/>
      <c r="U182" s="550"/>
      <c r="V182" s="1166"/>
      <c r="W182" s="1166"/>
      <c r="X182" s="1166"/>
      <c r="Y182" s="1166"/>
      <c r="Z182" s="1166"/>
      <c r="AA182" s="1638"/>
      <c r="AB182" s="572"/>
      <c r="AC182" s="572"/>
      <c r="AD182" s="572"/>
      <c r="AE182" s="572"/>
      <c r="AF182" s="1647">
        <v>11</v>
      </c>
    </row>
    <row s="1647" customFormat="1" customHeight="1" ht="11.549999999999999">
      <c r="A183" s="993"/>
      <c r="B183" s="1642"/>
      <c r="C183" s="1642"/>
      <c r="D183" s="357"/>
      <c r="K183" s="1166"/>
      <c r="L183" s="1642"/>
      <c r="M183" s="1642"/>
      <c r="N183" s="1166"/>
      <c r="O183" s="1166"/>
      <c r="P183" s="1166"/>
      <c r="Q183" s="1166"/>
      <c r="R183" s="1642"/>
      <c r="S183" s="1166"/>
      <c r="T183" s="1166"/>
      <c r="U183" s="550"/>
      <c r="V183" s="1166"/>
      <c r="W183" s="1166"/>
      <c r="X183" s="1166"/>
      <c r="Y183" s="1166"/>
      <c r="Z183" s="1166"/>
      <c r="AA183" s="1638"/>
      <c r="AB183" s="572"/>
      <c r="AC183" s="572"/>
      <c r="AD183" s="572"/>
      <c r="AE183" s="572"/>
      <c r="AF183" s="1647">
        <v>11</v>
      </c>
    </row>
    <row s="1647" customFormat="1" customHeight="1" ht="11.549999999999999">
      <c r="A184" s="993"/>
      <c r="B184" s="1642"/>
      <c r="C184" s="1642"/>
      <c r="D184" s="357"/>
      <c r="K184" s="1166"/>
      <c r="L184" s="1642"/>
      <c r="M184" s="1642"/>
      <c r="N184" s="1166"/>
      <c r="O184" s="1166"/>
      <c r="P184" s="1166"/>
      <c r="Q184" s="1166"/>
      <c r="R184" s="1642"/>
      <c r="S184" s="1166"/>
      <c r="T184" s="1166"/>
      <c r="U184" s="550"/>
      <c r="V184" s="1166"/>
      <c r="W184" s="1166"/>
      <c r="X184" s="1166"/>
      <c r="Y184" s="1166"/>
      <c r="Z184" s="1166"/>
      <c r="AA184" s="1638"/>
      <c r="AB184" s="572"/>
      <c r="AC184" s="572"/>
      <c r="AD184" s="572"/>
      <c r="AE184" s="572"/>
      <c r="AF184" s="1647">
        <v>11</v>
      </c>
    </row>
    <row s="1647" customFormat="1" customHeight="1" ht="11.549999999999999">
      <c r="A185" s="993"/>
      <c r="B185" s="1642"/>
      <c r="C185" s="1642"/>
      <c r="D185" s="357"/>
      <c r="K185" s="1166"/>
      <c r="L185" s="1642"/>
      <c r="M185" s="1642"/>
      <c r="N185" s="1166"/>
      <c r="O185" s="1166"/>
      <c r="P185" s="1166"/>
      <c r="Q185" s="1166"/>
      <c r="R185" s="1642"/>
      <c r="S185" s="1166"/>
      <c r="T185" s="1166"/>
      <c r="U185" s="550"/>
      <c r="V185" s="1166"/>
      <c r="W185" s="1166"/>
      <c r="X185" s="1166"/>
      <c r="Y185" s="1166"/>
      <c r="Z185" s="1166"/>
      <c r="AA185" s="1638"/>
      <c r="AB185" s="572"/>
      <c r="AC185" s="572"/>
      <c r="AD185" s="572"/>
      <c r="AE185" s="572"/>
      <c r="AF185" s="1647">
        <v>11</v>
      </c>
    </row>
    <row s="1647" customFormat="1" customHeight="1" ht="11.549999999999999">
      <c r="A186" s="993"/>
      <c r="B186" s="1642"/>
      <c r="C186" s="1642"/>
      <c r="D186" s="357"/>
      <c r="K186" s="1166"/>
      <c r="L186" s="1642"/>
      <c r="M186" s="1642"/>
      <c r="N186" s="1166"/>
      <c r="O186" s="1166"/>
      <c r="P186" s="1166"/>
      <c r="Q186" s="1166"/>
      <c r="R186" s="1642"/>
      <c r="S186" s="1166"/>
      <c r="T186" s="1166"/>
      <c r="U186" s="550"/>
      <c r="V186" s="1166"/>
      <c r="W186" s="1166"/>
      <c r="X186" s="1166"/>
      <c r="Y186" s="1166"/>
      <c r="Z186" s="1166"/>
      <c r="AA186" s="1638"/>
      <c r="AB186" s="572"/>
      <c r="AC186" s="572"/>
      <c r="AD186" s="572"/>
      <c r="AE186" s="572"/>
      <c r="AF186" s="1647">
        <v>11</v>
      </c>
    </row>
    <row s="1647" customFormat="1" customHeight="1" ht="11.549999999999999">
      <c r="A187" s="993"/>
      <c r="B187" s="1642"/>
      <c r="C187" s="1642"/>
      <c r="D187" s="357"/>
      <c r="K187" s="1166"/>
      <c r="L187" s="1642"/>
      <c r="M187" s="1642"/>
      <c r="N187" s="1166"/>
      <c r="O187" s="1166"/>
      <c r="P187" s="1166"/>
      <c r="Q187" s="1166"/>
      <c r="R187" s="1642"/>
      <c r="S187" s="1166"/>
      <c r="T187" s="1166"/>
      <c r="U187" s="550"/>
      <c r="V187" s="1166"/>
      <c r="W187" s="1166"/>
      <c r="X187" s="1166"/>
      <c r="Y187" s="1166"/>
      <c r="Z187" s="1166"/>
      <c r="AA187" s="1638"/>
      <c r="AB187" s="572"/>
      <c r="AC187" s="572"/>
      <c r="AD187" s="572"/>
      <c r="AE187" s="572"/>
      <c r="AF187" s="1647">
        <v>11</v>
      </c>
    </row>
    <row s="1647" customFormat="1" customHeight="1" ht="11.549999999999999">
      <c r="A188" s="993"/>
      <c r="B188" s="1642"/>
      <c r="C188" s="1642"/>
      <c r="D188" s="357"/>
      <c r="K188" s="1166"/>
      <c r="L188" s="1642"/>
      <c r="M188" s="1642"/>
      <c r="N188" s="1166"/>
      <c r="O188" s="1166"/>
      <c r="P188" s="1166"/>
      <c r="Q188" s="1166"/>
      <c r="R188" s="1642"/>
      <c r="S188" s="1166"/>
      <c r="T188" s="1166"/>
      <c r="U188" s="550"/>
      <c r="V188" s="1166"/>
      <c r="W188" s="1166"/>
      <c r="X188" s="1166"/>
      <c r="Y188" s="1166"/>
      <c r="Z188" s="1166"/>
      <c r="AA188" s="1638"/>
      <c r="AB188" s="572"/>
      <c r="AC188" s="572"/>
      <c r="AD188" s="572"/>
      <c r="AE188" s="572"/>
      <c r="AF188" s="1647">
        <v>11</v>
      </c>
    </row>
    <row s="1647" customFormat="1" customHeight="1" ht="11.549999999999999">
      <c r="A189" s="993"/>
      <c r="B189" s="1642"/>
      <c r="C189" s="1642"/>
      <c r="D189" s="357"/>
      <c r="K189" s="1166"/>
      <c r="L189" s="1642"/>
      <c r="M189" s="1642"/>
      <c r="N189" s="1166"/>
      <c r="O189" s="1166"/>
      <c r="P189" s="1166"/>
      <c r="Q189" s="1166"/>
      <c r="R189" s="1642"/>
      <c r="S189" s="1166"/>
      <c r="T189" s="1166"/>
      <c r="U189" s="550"/>
      <c r="V189" s="1166"/>
      <c r="W189" s="1166"/>
      <c r="X189" s="1166"/>
      <c r="Y189" s="1166"/>
      <c r="Z189" s="1166"/>
      <c r="AA189" s="1638"/>
      <c r="AB189" s="572"/>
      <c r="AC189" s="572"/>
      <c r="AD189" s="572"/>
      <c r="AE189" s="572"/>
      <c r="AF189" s="1647">
        <v>11</v>
      </c>
    </row>
    <row s="1647" customFormat="1" customHeight="1" ht="11.549999999999999">
      <c r="A190" s="993"/>
      <c r="B190" s="1642"/>
      <c r="C190" s="1642"/>
      <c r="D190" s="357"/>
      <c r="K190" s="1166"/>
      <c r="L190" s="1642"/>
      <c r="M190" s="1642"/>
      <c r="N190" s="1166"/>
      <c r="O190" s="1166"/>
      <c r="P190" s="1166"/>
      <c r="Q190" s="1166"/>
      <c r="R190" s="1642"/>
      <c r="S190" s="1166"/>
      <c r="T190" s="1166"/>
      <c r="U190" s="550"/>
      <c r="V190" s="1166"/>
      <c r="W190" s="1166"/>
      <c r="X190" s="1166"/>
      <c r="Y190" s="1166"/>
      <c r="Z190" s="1166"/>
      <c r="AA190" s="1638"/>
      <c r="AB190" s="572"/>
      <c r="AC190" s="572"/>
      <c r="AD190" s="572"/>
      <c r="AE190" s="572"/>
      <c r="AF190" s="1647">
        <v>11</v>
      </c>
    </row>
    <row s="1647" customFormat="1" customHeight="1" ht="11.549999999999999">
      <c r="A191" s="993"/>
      <c r="B191" s="1642"/>
      <c r="C191" s="1642"/>
      <c r="D191" s="357"/>
      <c r="K191" s="1166"/>
      <c r="L191" s="1642"/>
      <c r="M191" s="1642"/>
      <c r="N191" s="1166"/>
      <c r="O191" s="1166"/>
      <c r="P191" s="1166"/>
      <c r="Q191" s="1166"/>
      <c r="R191" s="1642"/>
      <c r="S191" s="1166"/>
      <c r="T191" s="1166"/>
      <c r="U191" s="550"/>
      <c r="V191" s="1166"/>
      <c r="W191" s="1166"/>
      <c r="X191" s="1166"/>
      <c r="Y191" s="1166"/>
      <c r="Z191" s="1166"/>
      <c r="AA191" s="1638"/>
      <c r="AB191" s="572"/>
      <c r="AC191" s="572"/>
      <c r="AD191" s="572"/>
      <c r="AE191" s="572"/>
      <c r="AF191" s="1647">
        <v>11</v>
      </c>
    </row>
    <row s="1647" customFormat="1" customHeight="1" ht="11.549999999999999">
      <c r="A192" s="993"/>
      <c r="B192" s="1642"/>
      <c r="C192" s="1642"/>
      <c r="D192" s="357"/>
      <c r="K192" s="1166"/>
      <c r="L192" s="1642"/>
      <c r="M192" s="1642"/>
      <c r="N192" s="1166"/>
      <c r="O192" s="1166"/>
      <c r="P192" s="1166"/>
      <c r="Q192" s="1166"/>
      <c r="R192" s="1642"/>
      <c r="S192" s="1166"/>
      <c r="T192" s="1166"/>
      <c r="U192" s="550"/>
      <c r="V192" s="1166"/>
      <c r="W192" s="1166"/>
      <c r="X192" s="1166"/>
      <c r="Y192" s="1166"/>
      <c r="Z192" s="1166"/>
      <c r="AA192" s="1638"/>
      <c r="AB192" s="572"/>
      <c r="AC192" s="572"/>
      <c r="AD192" s="572"/>
      <c r="AE192" s="572"/>
      <c r="AF192" s="1647">
        <v>11</v>
      </c>
    </row>
    <row s="1647" customFormat="1" customHeight="1" ht="11.549999999999999">
      <c r="A193" s="993"/>
      <c r="B193" s="1642"/>
      <c r="C193" s="1642"/>
      <c r="D193" s="357"/>
      <c r="K193" s="1166"/>
      <c r="L193" s="1642"/>
      <c r="M193" s="1642"/>
      <c r="N193" s="1166"/>
      <c r="O193" s="1166"/>
      <c r="P193" s="1166"/>
      <c r="Q193" s="1166"/>
      <c r="R193" s="1642"/>
      <c r="S193" s="1166"/>
      <c r="T193" s="1166"/>
      <c r="U193" s="550"/>
      <c r="V193" s="1166"/>
      <c r="W193" s="1166"/>
      <c r="X193" s="1166"/>
      <c r="Y193" s="1166"/>
      <c r="Z193" s="1166"/>
      <c r="AA193" s="1638"/>
      <c r="AB193" s="572"/>
      <c r="AC193" s="572"/>
      <c r="AD193" s="572"/>
      <c r="AE193" s="572"/>
      <c r="AF193" s="1647">
        <v>11</v>
      </c>
    </row>
    <row s="1647" customFormat="1" customHeight="1" ht="11.549999999999999">
      <c r="A194" s="993"/>
      <c r="B194" s="1642"/>
      <c r="C194" s="1642"/>
      <c r="D194" s="357"/>
      <c r="K194" s="1166"/>
      <c r="L194" s="1642"/>
      <c r="M194" s="1642"/>
      <c r="N194" s="1166"/>
      <c r="O194" s="1166"/>
      <c r="P194" s="1166"/>
      <c r="Q194" s="1166"/>
      <c r="R194" s="1642"/>
      <c r="S194" s="1166"/>
      <c r="T194" s="1166"/>
      <c r="U194" s="550"/>
      <c r="V194" s="1166"/>
      <c r="W194" s="1166"/>
      <c r="X194" s="1166"/>
      <c r="Y194" s="1166"/>
      <c r="Z194" s="1166"/>
      <c r="AA194" s="1638"/>
      <c r="AB194" s="572"/>
      <c r="AC194" s="572"/>
      <c r="AD194" s="572"/>
      <c r="AE194" s="572"/>
      <c r="AF194" s="1647">
        <v>11</v>
      </c>
    </row>
    <row s="1647" customFormat="1" customHeight="1" ht="11.549999999999999">
      <c r="A195" s="993"/>
      <c r="B195" s="1642"/>
      <c r="C195" s="1642"/>
      <c r="D195" s="357"/>
      <c r="K195" s="1166"/>
      <c r="L195" s="1642"/>
      <c r="M195" s="1642"/>
      <c r="N195" s="1166"/>
      <c r="O195" s="1166"/>
      <c r="P195" s="1166"/>
      <c r="Q195" s="1166"/>
      <c r="R195" s="1642"/>
      <c r="S195" s="1166"/>
      <c r="T195" s="1166"/>
      <c r="U195" s="550"/>
      <c r="V195" s="1166"/>
      <c r="W195" s="1166"/>
      <c r="X195" s="1166"/>
      <c r="Y195" s="1166"/>
      <c r="Z195" s="1166"/>
      <c r="AA195" s="1638"/>
      <c r="AB195" s="572"/>
      <c r="AC195" s="572"/>
      <c r="AD195" s="572"/>
      <c r="AE195" s="572"/>
      <c r="AF195" s="1647">
        <v>11</v>
      </c>
    </row>
    <row s="1647" customFormat="1" customHeight="1" ht="11.549999999999999">
      <c r="A196" s="993"/>
      <c r="B196" s="1642"/>
      <c r="C196" s="1642"/>
      <c r="D196" s="357"/>
      <c r="K196" s="1166"/>
      <c r="L196" s="1642"/>
      <c r="M196" s="1642"/>
      <c r="N196" s="1166"/>
      <c r="O196" s="1166"/>
      <c r="P196" s="1166"/>
      <c r="Q196" s="1166"/>
      <c r="R196" s="1642"/>
      <c r="S196" s="1166"/>
      <c r="T196" s="1166"/>
      <c r="U196" s="550"/>
      <c r="V196" s="1166"/>
      <c r="W196" s="1166"/>
      <c r="X196" s="1166"/>
      <c r="Y196" s="1166"/>
      <c r="Z196" s="1166"/>
      <c r="AA196" s="1638"/>
      <c r="AB196" s="572"/>
      <c r="AC196" s="572"/>
      <c r="AD196" s="572"/>
      <c r="AE196" s="572"/>
      <c r="AF196" s="1647">
        <v>11</v>
      </c>
    </row>
    <row s="1647" customFormat="1" customHeight="1" ht="11.549999999999999">
      <c r="A197" s="993"/>
      <c r="B197" s="1642"/>
      <c r="C197" s="1642"/>
      <c r="D197" s="357"/>
      <c r="K197" s="1166"/>
      <c r="L197" s="1642"/>
      <c r="M197" s="1642"/>
      <c r="N197" s="1166"/>
      <c r="O197" s="1166"/>
      <c r="P197" s="1166"/>
      <c r="Q197" s="1166"/>
      <c r="R197" s="1642"/>
      <c r="S197" s="1166"/>
      <c r="T197" s="1166"/>
      <c r="U197" s="550"/>
      <c r="V197" s="1166"/>
      <c r="W197" s="1166"/>
      <c r="X197" s="1166"/>
      <c r="Y197" s="1166"/>
      <c r="Z197" s="1166"/>
      <c r="AA197" s="1638"/>
      <c r="AB197" s="572"/>
      <c r="AC197" s="572"/>
      <c r="AD197" s="572"/>
      <c r="AE197" s="572"/>
      <c r="AF197" s="1647">
        <v>11</v>
      </c>
    </row>
    <row s="1647" customFormat="1" customHeight="1" ht="11.549999999999999">
      <c r="A198" s="993"/>
      <c r="B198" s="1642"/>
      <c r="C198" s="1642"/>
      <c r="D198" s="357"/>
      <c r="K198" s="1166"/>
      <c r="L198" s="1642"/>
      <c r="M198" s="1642"/>
      <c r="N198" s="1166"/>
      <c r="O198" s="1166"/>
      <c r="P198" s="1166"/>
      <c r="Q198" s="1166"/>
      <c r="R198" s="1642"/>
      <c r="S198" s="1166"/>
      <c r="T198" s="1166"/>
      <c r="U198" s="550"/>
      <c r="V198" s="1166"/>
      <c r="W198" s="1166"/>
      <c r="X198" s="1166"/>
      <c r="Y198" s="1166"/>
      <c r="Z198" s="1166"/>
      <c r="AA198" s="1638"/>
      <c r="AB198" s="572"/>
      <c r="AC198" s="572"/>
      <c r="AD198" s="572"/>
      <c r="AE198" s="572"/>
      <c r="AF198" s="1647">
        <v>11</v>
      </c>
    </row>
    <row s="1647" customFormat="1" customHeight="1" ht="11.549999999999999">
      <c r="A199" s="993"/>
      <c r="B199" s="1642"/>
      <c r="C199" s="1642"/>
      <c r="D199" s="357"/>
      <c r="K199" s="1166"/>
      <c r="L199" s="1642"/>
      <c r="M199" s="1642"/>
      <c r="N199" s="1166"/>
      <c r="O199" s="1166"/>
      <c r="P199" s="1166"/>
      <c r="Q199" s="1166"/>
      <c r="R199" s="1642"/>
      <c r="S199" s="1166"/>
      <c r="T199" s="1166"/>
      <c r="U199" s="550"/>
      <c r="V199" s="1166"/>
      <c r="W199" s="1166"/>
      <c r="X199" s="1166"/>
      <c r="Y199" s="1166"/>
      <c r="Z199" s="1166"/>
      <c r="AA199" s="1638"/>
      <c r="AB199" s="572"/>
      <c r="AC199" s="572"/>
      <c r="AD199" s="572"/>
      <c r="AE199" s="572"/>
      <c r="AF199" s="1647">
        <v>11</v>
      </c>
    </row>
    <row s="1647" customFormat="1" customHeight="1" ht="11.549999999999999">
      <c r="A200" s="993"/>
      <c r="B200" s="1642"/>
      <c r="C200" s="1642"/>
      <c r="D200" s="357"/>
      <c r="K200" s="1166"/>
      <c r="L200" s="1642"/>
      <c r="M200" s="1642"/>
      <c r="N200" s="1166"/>
      <c r="O200" s="1166"/>
      <c r="P200" s="1166"/>
      <c r="Q200" s="1166"/>
      <c r="R200" s="1642"/>
      <c r="S200" s="1166"/>
      <c r="T200" s="1166"/>
      <c r="U200" s="550"/>
      <c r="V200" s="1166"/>
      <c r="W200" s="1166"/>
      <c r="X200" s="1166"/>
      <c r="Y200" s="1166"/>
      <c r="Z200" s="1166"/>
      <c r="AA200" s="1638"/>
      <c r="AB200" s="572"/>
      <c r="AC200" s="572"/>
      <c r="AD200" s="572"/>
      <c r="AE200" s="572"/>
      <c r="AF200" s="1647">
        <v>11</v>
      </c>
    </row>
    <row s="1647" customFormat="1" customHeight="1" ht="11.549999999999999">
      <c r="A201" s="993"/>
      <c r="B201" s="1642"/>
      <c r="C201" s="1642"/>
      <c r="D201" s="357"/>
      <c r="K201" s="1166"/>
      <c r="L201" s="1642"/>
      <c r="M201" s="1642"/>
      <c r="N201" s="1166"/>
      <c r="O201" s="1166"/>
      <c r="P201" s="1166"/>
      <c r="Q201" s="1166"/>
      <c r="R201" s="1642"/>
      <c r="S201" s="1166"/>
      <c r="T201" s="1166"/>
      <c r="U201" s="550"/>
      <c r="V201" s="1166"/>
      <c r="W201" s="1166"/>
      <c r="X201" s="1166"/>
      <c r="Y201" s="1166"/>
      <c r="Z201" s="1166"/>
      <c r="AA201" s="1638"/>
      <c r="AB201" s="572"/>
      <c r="AC201" s="572"/>
      <c r="AD201" s="572"/>
      <c r="AE201" s="572"/>
      <c r="AF201" s="1647">
        <v>11</v>
      </c>
    </row>
    <row s="1647" customFormat="1" customHeight="1" ht="11.549999999999999">
      <c r="A202" s="993"/>
      <c r="B202" s="1642"/>
      <c r="C202" s="1642"/>
      <c r="D202" s="357"/>
      <c r="K202" s="1166"/>
      <c r="L202" s="1642"/>
      <c r="M202" s="1642"/>
      <c r="N202" s="1166"/>
      <c r="O202" s="1166"/>
      <c r="P202" s="1166"/>
      <c r="Q202" s="1166"/>
      <c r="R202" s="1642"/>
      <c r="S202" s="1166"/>
      <c r="T202" s="1166"/>
      <c r="U202" s="550"/>
      <c r="V202" s="1166"/>
      <c r="W202" s="1166"/>
      <c r="X202" s="1166"/>
      <c r="Y202" s="1166"/>
      <c r="Z202" s="1166"/>
      <c r="AA202" s="1638"/>
      <c r="AB202" s="572"/>
      <c r="AC202" s="572"/>
      <c r="AD202" s="572"/>
      <c r="AE202" s="572"/>
      <c r="AF202" s="1647">
        <v>11</v>
      </c>
    </row>
    <row customHeight="1" ht="11.549999999999999">
      <c r="AF203" s="1637">
        <v>11</v>
      </c>
    </row>
    <row customHeight="1" ht="11.549999999999999">
      <c r="AF204" s="1637">
        <v>11</v>
      </c>
    </row>
    <row customHeight="1" ht="11.549999999999999">
      <c r="AF205" s="1637">
        <v>11</v>
      </c>
    </row>
    <row customHeight="1" ht="11.549999999999999">
      <c r="A206" s="996"/>
      <c r="B206" s="1637"/>
      <c r="D206" s="1637"/>
      <c r="K206" s="1637"/>
      <c r="N206" s="1637"/>
      <c r="O206" s="1637"/>
      <c r="P206" s="1637"/>
      <c r="Q206" s="1637"/>
      <c r="S206" s="1637"/>
      <c r="T206" s="1637"/>
      <c r="U206" s="1637"/>
      <c r="V206" s="1637"/>
      <c r="W206" s="1637"/>
      <c r="X206" s="1637"/>
      <c r="Y206" s="1637"/>
      <c r="Z206" s="1637"/>
      <c r="AA206" s="1637"/>
      <c r="AB206" s="1637"/>
      <c r="AC206" s="1637"/>
      <c r="AD206" s="1637"/>
      <c r="AE206" s="1637"/>
      <c r="AF206" s="1637">
        <v>11</v>
      </c>
    </row>
    <row customHeight="1" ht="11.549999999999999">
      <c r="A207" s="996"/>
      <c r="B207" s="1637"/>
      <c r="D207" s="1637"/>
      <c r="K207" s="1637"/>
      <c r="N207" s="1637"/>
      <c r="O207" s="1637"/>
      <c r="P207" s="1637"/>
      <c r="Q207" s="1637"/>
      <c r="S207" s="1637"/>
      <c r="T207" s="1637"/>
      <c r="U207" s="1637"/>
      <c r="V207" s="1637"/>
      <c r="W207" s="1637"/>
      <c r="X207" s="1637"/>
      <c r="Y207" s="1637"/>
      <c r="Z207" s="1637"/>
      <c r="AA207" s="1637"/>
      <c r="AB207" s="1637"/>
      <c r="AC207" s="1637"/>
      <c r="AD207" s="1637"/>
      <c r="AE207" s="1637"/>
      <c r="AF207" s="1637">
        <v>11</v>
      </c>
    </row>
    <row customHeight="1" ht="11.549999999999999">
      <c r="A208" s="996"/>
      <c r="B208" s="1637"/>
      <c r="D208" s="1637"/>
      <c r="K208" s="1637"/>
      <c r="N208" s="1637"/>
      <c r="O208" s="1637"/>
      <c r="P208" s="1637"/>
      <c r="Q208" s="1637"/>
      <c r="S208" s="1637"/>
      <c r="T208" s="1637"/>
      <c r="U208" s="1637"/>
      <c r="V208" s="1637"/>
      <c r="W208" s="1637"/>
      <c r="X208" s="1637"/>
      <c r="Y208" s="1637"/>
      <c r="Z208" s="1637"/>
      <c r="AA208" s="1637"/>
      <c r="AB208" s="1637"/>
      <c r="AC208" s="1637"/>
      <c r="AD208" s="1637"/>
      <c r="AE208" s="1637"/>
      <c r="AF208" s="1637">
        <v>11</v>
      </c>
    </row>
    <row customHeight="1" ht="11.549999999999999">
      <c r="A209" s="996"/>
      <c r="B209" s="1637"/>
      <c r="D209" s="1637"/>
      <c r="K209" s="1637"/>
      <c r="N209" s="1637"/>
      <c r="O209" s="1637"/>
      <c r="P209" s="1637"/>
      <c r="Q209" s="1637"/>
      <c r="S209" s="1637"/>
      <c r="T209" s="1637"/>
      <c r="U209" s="1637"/>
      <c r="V209" s="1637"/>
      <c r="W209" s="1637"/>
      <c r="X209" s="1637"/>
      <c r="Y209" s="1637"/>
      <c r="Z209" s="1637"/>
      <c r="AA209" s="1637"/>
      <c r="AB209" s="1637"/>
      <c r="AC209" s="1637"/>
      <c r="AD209" s="1637"/>
      <c r="AE209" s="1637"/>
      <c r="AF209" s="1637">
        <v>11</v>
      </c>
    </row>
    <row customHeight="1" ht="11.549999999999999">
      <c r="A210" s="996"/>
      <c r="B210" s="1637"/>
      <c r="D210" s="1637"/>
      <c r="K210" s="1637"/>
      <c r="N210" s="1637"/>
      <c r="O210" s="1637"/>
      <c r="P210" s="1637"/>
      <c r="Q210" s="1637"/>
      <c r="S210" s="1637"/>
      <c r="T210" s="1637"/>
      <c r="U210" s="1637"/>
      <c r="V210" s="1637"/>
      <c r="W210" s="1637"/>
      <c r="X210" s="1637"/>
      <c r="Y210" s="1637"/>
      <c r="Z210" s="1637"/>
      <c r="AA210" s="1637"/>
      <c r="AB210" s="1637"/>
      <c r="AC210" s="1637"/>
      <c r="AD210" s="1637"/>
      <c r="AE210" s="1637"/>
      <c r="AF210" s="1637">
        <v>11</v>
      </c>
    </row>
    <row customHeight="1" ht="11.549999999999999">
      <c r="A211" s="996"/>
      <c r="B211" s="1637"/>
      <c r="D211" s="1637"/>
      <c r="K211" s="1637"/>
      <c r="N211" s="1637"/>
      <c r="O211" s="1637"/>
      <c r="P211" s="1637"/>
      <c r="Q211" s="1637"/>
      <c r="S211" s="1637"/>
      <c r="T211" s="1637"/>
      <c r="U211" s="1637"/>
      <c r="V211" s="1637"/>
      <c r="W211" s="1637"/>
      <c r="X211" s="1637"/>
      <c r="Y211" s="1637"/>
      <c r="Z211" s="1637"/>
      <c r="AA211" s="1637"/>
      <c r="AB211" s="1637"/>
      <c r="AC211" s="1637"/>
      <c r="AD211" s="1637"/>
      <c r="AE211" s="1637"/>
      <c r="AF211" s="1637">
        <v>11</v>
      </c>
    </row>
    <row customHeight="1" ht="11.549999999999999">
      <c r="A212" s="996"/>
      <c r="B212" s="1637"/>
      <c r="D212" s="1637"/>
      <c r="K212" s="1637"/>
      <c r="N212" s="1637"/>
      <c r="O212" s="1637"/>
      <c r="P212" s="1637"/>
      <c r="Q212" s="1637"/>
      <c r="S212" s="1637"/>
      <c r="T212" s="1637"/>
      <c r="U212" s="1637"/>
      <c r="V212" s="1637"/>
      <c r="W212" s="1637"/>
      <c r="X212" s="1637"/>
      <c r="Y212" s="1637"/>
      <c r="Z212" s="1637"/>
      <c r="AA212" s="1637"/>
      <c r="AB212" s="1637"/>
      <c r="AC212" s="1637"/>
      <c r="AD212" s="1637"/>
      <c r="AE212" s="1637"/>
      <c r="AF212" s="1637">
        <v>11</v>
      </c>
    </row>
    <row customHeight="1" ht="11.549999999999999">
      <c r="A213" s="996"/>
      <c r="B213" s="1637"/>
      <c r="D213" s="1637"/>
      <c r="K213" s="1637"/>
      <c r="N213" s="1637"/>
      <c r="O213" s="1637"/>
      <c r="P213" s="1637"/>
      <c r="Q213" s="1637"/>
      <c r="S213" s="1637"/>
      <c r="T213" s="1637"/>
      <c r="U213" s="1637"/>
      <c r="V213" s="1637"/>
      <c r="W213" s="1637"/>
      <c r="X213" s="1637"/>
      <c r="Y213" s="1637"/>
      <c r="Z213" s="1637"/>
      <c r="AA213" s="1637"/>
      <c r="AB213" s="1637"/>
      <c r="AC213" s="1637"/>
      <c r="AD213" s="1637"/>
      <c r="AE213" s="1637"/>
      <c r="AF213" s="1637">
        <v>11</v>
      </c>
    </row>
    <row customHeight="1" ht="11.549999999999999">
      <c r="A214" s="996"/>
      <c r="B214" s="1637"/>
      <c r="D214" s="1637"/>
      <c r="K214" s="1637"/>
      <c r="N214" s="1637"/>
      <c r="O214" s="1637"/>
      <c r="P214" s="1637"/>
      <c r="Q214" s="1637"/>
      <c r="S214" s="1637"/>
      <c r="T214" s="1637"/>
      <c r="U214" s="1637"/>
      <c r="V214" s="1637"/>
      <c r="W214" s="1637"/>
      <c r="X214" s="1637"/>
      <c r="Y214" s="1637"/>
      <c r="Z214" s="1637"/>
      <c r="AA214" s="1637"/>
      <c r="AB214" s="1637"/>
      <c r="AC214" s="1637"/>
      <c r="AD214" s="1637"/>
      <c r="AE214" s="1637"/>
      <c r="AF214" s="1637">
        <v>11</v>
      </c>
    </row>
    <row customHeight="1" ht="11.549999999999999">
      <c r="A215" s="996"/>
      <c r="B215" s="1637"/>
      <c r="D215" s="1637"/>
      <c r="K215" s="1637"/>
      <c r="N215" s="1637"/>
      <c r="O215" s="1637"/>
      <c r="P215" s="1637"/>
      <c r="Q215" s="1637"/>
      <c r="S215" s="1637"/>
      <c r="T215" s="1637"/>
      <c r="U215" s="1637"/>
      <c r="V215" s="1637"/>
      <c r="W215" s="1637"/>
      <c r="X215" s="1637"/>
      <c r="Y215" s="1637"/>
      <c r="Z215" s="1637"/>
      <c r="AA215" s="1637"/>
      <c r="AB215" s="1637"/>
      <c r="AC215" s="1637"/>
      <c r="AD215" s="1637"/>
      <c r="AE215" s="1637"/>
      <c r="AF215" s="1637">
        <v>11</v>
      </c>
    </row>
    <row customHeight="1" ht="11.549999999999999">
      <c r="A216" s="996"/>
      <c r="B216" s="1637"/>
      <c r="D216" s="1637"/>
      <c r="K216" s="1637"/>
      <c r="N216" s="1637"/>
      <c r="O216" s="1637"/>
      <c r="P216" s="1637"/>
      <c r="Q216" s="1637"/>
      <c r="S216" s="1637"/>
      <c r="T216" s="1637"/>
      <c r="U216" s="1637"/>
      <c r="V216" s="1637"/>
      <c r="W216" s="1637"/>
      <c r="X216" s="1637"/>
      <c r="Y216" s="1637"/>
      <c r="Z216" s="1637"/>
      <c r="AA216" s="1637"/>
      <c r="AB216" s="1637"/>
      <c r="AC216" s="1637"/>
      <c r="AD216" s="1637"/>
      <c r="AE216" s="1637"/>
      <c r="AF216" s="1637">
        <v>11</v>
      </c>
    </row>
    <row customHeight="1" ht="11.25" hidden="1">
      <c r="A217" s="993" t="s">
        <v>83</v>
      </c>
      <c r="B217" s="1166">
        <v>0</v>
      </c>
      <c r="C217" s="1642">
        <v>0</v>
      </c>
      <c r="D217" s="1641">
        <v>3</v>
      </c>
      <c r="E217" s="1637">
        <v>7</v>
      </c>
      <c r="F217" s="1637">
        <v>56</v>
      </c>
      <c r="G217" s="1637">
        <v>10</v>
      </c>
      <c r="H217" s="1637">
        <v>0</v>
      </c>
      <c r="I217" s="1637">
        <v>40</v>
      </c>
      <c r="J217" s="1637">
        <v>102</v>
      </c>
      <c r="K217" s="1166">
        <v>9</v>
      </c>
      <c r="L217" s="1642">
        <v>5</v>
      </c>
      <c r="M217" s="1642">
        <v>3</v>
      </c>
      <c r="N217" s="1166">
        <v>3</v>
      </c>
      <c r="O217" s="1166">
        <v>3</v>
      </c>
      <c r="P217" s="1166">
        <v>3</v>
      </c>
      <c r="Q217" s="1166">
        <v>3</v>
      </c>
      <c r="R217" s="1642">
        <v>10</v>
      </c>
      <c r="S217" s="1166">
        <v>34</v>
      </c>
      <c r="T217" s="1166">
        <v>9</v>
      </c>
      <c r="U217" s="550">
        <v>8</v>
      </c>
      <c r="V217" s="1166">
        <v>8</v>
      </c>
      <c r="W217" s="1166">
        <v>8</v>
      </c>
      <c r="X217" s="1166">
        <v>8</v>
      </c>
      <c r="Y217" s="1166">
        <v>8</v>
      </c>
      <c r="Z217" s="1166">
        <v>8</v>
      </c>
      <c r="AA217" s="1638">
        <v>8</v>
      </c>
      <c r="AB217" s="1638">
        <v>8</v>
      </c>
      <c r="AC217" s="1638">
        <v>8</v>
      </c>
      <c r="AD217" s="1638">
        <v>8</v>
      </c>
      <c r="AE217" s="1638">
        <v>8</v>
      </c>
      <c r="AF217" s="1637">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BEF3EB-709C-40CF-17EE-E6FC3A845424}"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9" style="1641" width="40.00390625" customWidth="1"/>
    <col min="10" max="10" style="1641" width="102.00390625" customWidth="1"/>
    <col min="11" max="11" style="1372" width="9.00390625" customWidth="1"/>
    <col min="12" max="12" style="1648" width="5.00390625" customWidth="1"/>
    <col min="13" max="13" style="1648" width="3.00390625" customWidth="1"/>
    <col min="14" max="17" style="1372" width="3.00390625" customWidth="1"/>
    <col min="18" max="18" style="1648" width="10.00390625" customWidth="1"/>
    <col min="19" max="19" style="1372" width="34.00390625" customWidth="1"/>
    <col min="20" max="20" style="1372" width="9.00390625" customWidth="1"/>
    <col min="21" max="21" style="742" width="8.00390625" customWidth="1"/>
    <col min="22" max="26" style="1372" width="8.00390625" customWidth="1"/>
    <col min="27" max="31" style="1638" width="8.00390625" customWidth="1"/>
    <col min="32" max="32" style="1641" width="9.140625" hidden="1"/>
  </cols>
  <sheetData>
    <row s="1372" customFormat="1" customHeight="1" ht="22.5" hidden="1">
      <c r="A1" s="993"/>
      <c r="C1" s="1642"/>
      <c r="D1" s="543"/>
      <c r="H1" s="1166">
        <v>4</v>
      </c>
      <c r="I1" s="1166">
        <v>4</v>
      </c>
      <c r="L1" s="1642"/>
      <c r="M1" s="1642"/>
      <c r="R1" s="1642"/>
      <c r="AF1" s="1166" t="s">
        <v>14</v>
      </c>
    </row>
    <row s="1372" customFormat="1" customHeight="1" ht="22.5" hidden="1">
      <c r="A2" s="993"/>
      <c r="C2" s="1642"/>
      <c r="D2" s="544"/>
      <c r="E2" s="1664"/>
      <c r="F2" s="546"/>
      <c r="G2" s="1663" t="s">
        <v>589</v>
      </c>
      <c r="H2" s="547"/>
      <c r="I2" s="547"/>
      <c r="J2" s="548" t="s">
        <v>592</v>
      </c>
      <c r="K2" s="549"/>
      <c r="L2" s="1642"/>
      <c r="M2" s="1642"/>
      <c r="R2" s="1642"/>
      <c r="U2" s="550"/>
      <c r="AA2" s="1638"/>
      <c r="AB2" s="1638"/>
      <c r="AC2" s="1638"/>
      <c r="AD2" s="1638"/>
      <c r="AE2" s="1638"/>
      <c r="AF2" s="1166">
        <v>0</v>
      </c>
    </row>
    <row customHeight="1" ht="11.25" hidden="1">
      <c r="AF3" s="1637">
        <v>0</v>
      </c>
    </row>
    <row s="1638" customFormat="1" customHeight="1" ht="11.25" hidden="1">
      <c r="A4" s="993"/>
      <c r="B4" s="1166"/>
      <c r="C4" s="1642"/>
      <c r="D4" s="368"/>
      <c r="J4" s="1638">
        <v>4</v>
      </c>
      <c r="K4" s="1166"/>
      <c r="L4" s="1642"/>
      <c r="M4" s="1642"/>
      <c r="N4" s="1166"/>
      <c r="O4" s="1166"/>
      <c r="P4" s="1166"/>
      <c r="Q4" s="1166"/>
      <c r="R4" s="1642"/>
      <c r="S4" s="1166"/>
      <c r="T4" s="1166"/>
      <c r="U4" s="550"/>
      <c r="V4" s="1166"/>
      <c r="W4" s="1166"/>
      <c r="X4" s="1166"/>
      <c r="Y4" s="1166"/>
      <c r="Z4" s="1166"/>
      <c r="AF4" s="1638">
        <v>0</v>
      </c>
    </row>
    <row customHeight="1" ht="11.549999999999999">
      <c r="AF5" s="1637">
        <v>11</v>
      </c>
    </row>
    <row customHeight="1" ht="33.75">
      <c r="E6" s="2254" t="s">
        <v>811</v>
      </c>
      <c r="F6" s="2254"/>
      <c r="G6" s="2254"/>
      <c r="H6" s="2254"/>
      <c r="I6" s="2254"/>
      <c r="J6" s="562"/>
      <c r="AF6" s="1637">
        <v>32</v>
      </c>
    </row>
    <row customHeight="1" ht="25.2">
      <c r="E7" s="2255" t="str">
        <f>IF(org=0,"Не определено",org)</f>
        <v>АО «ДГК» СП «Нерюнгринская ГРЭС»</v>
      </c>
      <c r="F7" s="2255"/>
      <c r="G7" s="2255"/>
      <c r="H7" s="2255"/>
      <c r="I7" s="2255"/>
      <c r="AF7" s="1637">
        <v>24</v>
      </c>
    </row>
    <row customHeight="1" ht="11.549999999999999">
      <c r="E8" s="1141"/>
      <c r="F8" s="1141"/>
      <c r="G8" s="1141"/>
      <c r="H8" s="1141"/>
      <c r="I8" s="1141"/>
      <c r="AF8" s="1637">
        <v>11</v>
      </c>
    </row>
    <row s="1648" customFormat="1" customHeight="1" ht="1.05">
      <c r="A9" s="1173"/>
      <c r="D9" s="1648"/>
      <c r="H9" s="895"/>
      <c r="I9" s="895" t="s">
        <v>119</v>
      </c>
      <c r="AF9" s="1642">
        <v>1</v>
      </c>
    </row>
    <row customHeight="1" ht="11.549999999999999">
      <c r="E10" s="717"/>
      <c r="F10" s="2373" t="s">
        <v>107</v>
      </c>
      <c r="G10" s="2374"/>
      <c r="H10" s="1665" t="str">
        <f>IF(H9="","",INDEX(DIFFERENTIATION_UNMERGE_VD,MATCH(H9,DIFFERENTIATION_ID_DIFF,0)))</f>
        <v/>
      </c>
      <c r="I10" s="1665">
        <f>IF(I9="","",INDEX(DIFFERENTIATION_UNMERGE_VD,MATCH(I9,DIFFERENTIATION_ID_DIFF,0)))</f>
        <v>0</v>
      </c>
      <c r="J10" s="2133"/>
      <c r="AF10" s="1637">
        <v>11</v>
      </c>
    </row>
    <row customHeight="1" ht="11.549999999999999">
      <c r="E11" s="717"/>
      <c r="F11" s="2373" t="s">
        <v>601</v>
      </c>
      <c r="G11" s="2374"/>
      <c r="H11" s="1665" t="str">
        <f>IF(H9="","",INDEX(DIFFERENTIATION_UNMERGE_AREA,MATCH(H9,DIFFERENTIATION_ID_DIFF,0)))</f>
        <v/>
      </c>
      <c r="I11" s="1665" t="str">
        <f>IF(I9="","",INDEX(DIFFERENTIATION_UNMERGE_AREA,MATCH(I9,DIFFERENTIATION_ID_DIFF,0)))</f>
        <v/>
      </c>
      <c r="J11" s="2133"/>
      <c r="AF11" s="1637">
        <v>11</v>
      </c>
    </row>
    <row customHeight="1" ht="11.25" hidden="1">
      <c r="E12" s="1668"/>
      <c r="F12" s="2396" t="s">
        <v>602</v>
      </c>
      <c r="G12" s="2397"/>
      <c r="H12" s="1669" t="str">
        <f>IF(H9="","",INDEX(DIFFERENTIATION_UNMERGE_SYSTEM,MATCH(H9,DIFFERENTIATION_ID_DIFF,0)))</f>
        <v/>
      </c>
      <c r="I12" s="1669" t="str">
        <f>IF(I9="","",INDEX(DIFFERENTIATION_UNMERGE_SYSTEM,MATCH(I9,DIFFERENTIATION_ID_DIFF,0)))</f>
        <v>без дифференциации</v>
      </c>
      <c r="J12" s="2133"/>
      <c r="AF12" s="1637">
        <v>0</v>
      </c>
    </row>
    <row customHeight="1" ht="11.549999999999999">
      <c r="E13" s="2375" t="s">
        <v>316</v>
      </c>
      <c r="F13" s="2376"/>
      <c r="G13" s="2376"/>
      <c r="H13" s="1662"/>
      <c r="I13" s="1662"/>
      <c r="J13" s="2133"/>
      <c r="AF13" s="1637">
        <v>11</v>
      </c>
    </row>
    <row customHeight="1" ht="24">
      <c r="E14" s="1663" t="s">
        <v>89</v>
      </c>
      <c r="F14" s="1666" t="s">
        <v>318</v>
      </c>
      <c r="G14" s="1666" t="s">
        <v>603</v>
      </c>
      <c r="H14" s="1666" t="s">
        <v>319</v>
      </c>
      <c r="I14" s="1666" t="s">
        <v>319</v>
      </c>
      <c r="J14" s="2133"/>
      <c r="AF14" s="1637">
        <v>23</v>
      </c>
    </row>
    <row customHeight="1" ht="19.95">
      <c r="D15" s="1644"/>
      <c r="E15" s="1636" t="s">
        <v>111</v>
      </c>
      <c r="F15" s="713" t="s">
        <v>812</v>
      </c>
      <c r="G15" s="1663" t="s">
        <v>589</v>
      </c>
      <c r="H15" s="563"/>
      <c r="I15" s="563"/>
      <c r="J15" s="295" t="s">
        <v>813</v>
      </c>
      <c r="K15" s="549" t="s">
        <v>667</v>
      </c>
      <c r="AF15" s="1637">
        <v>19</v>
      </c>
    </row>
    <row customHeight="1" ht="24">
      <c r="D16" s="1644"/>
      <c r="E16" s="1636" t="s">
        <v>112</v>
      </c>
      <c r="F16" s="1671" t="s">
        <v>814</v>
      </c>
      <c r="G16" s="1663" t="s">
        <v>589</v>
      </c>
      <c r="H16" s="564">
        <f>SUM(H17,H20:H27)</f>
        <v>0</v>
      </c>
      <c r="I16" s="564">
        <f>SUM(I17,I20:I27)</f>
        <v>0</v>
      </c>
      <c r="J16" s="295" t="s">
        <v>815</v>
      </c>
      <c r="K16" s="549" t="s">
        <v>667</v>
      </c>
      <c r="AF16" s="1637">
        <v>23</v>
      </c>
    </row>
    <row customHeight="1" ht="35.699999999999996">
      <c r="D17" s="1644"/>
      <c r="E17" s="1670" t="s">
        <v>745</v>
      </c>
      <c r="F17" s="1673" t="s">
        <v>816</v>
      </c>
      <c r="G17" s="1660" t="s">
        <v>589</v>
      </c>
      <c r="H17" s="563"/>
      <c r="I17" s="563"/>
      <c r="J17" s="295" t="s">
        <v>817</v>
      </c>
      <c r="K17" s="549"/>
      <c r="AF17" s="1637">
        <v>34</v>
      </c>
    </row>
    <row customHeight="1" ht="19.95">
      <c r="D18" s="1644"/>
      <c r="E18" s="1670" t="s">
        <v>748</v>
      </c>
      <c r="F18" s="1674" t="s">
        <v>818</v>
      </c>
      <c r="G18" s="1660" t="s">
        <v>589</v>
      </c>
      <c r="H18" s="563"/>
      <c r="I18" s="563"/>
      <c r="J18" s="295"/>
      <c r="K18" s="549"/>
      <c r="AF18" s="1637">
        <v>19</v>
      </c>
    </row>
    <row customHeight="1" ht="24">
      <c r="D19" s="1644"/>
      <c r="E19" s="1670" t="s">
        <v>751</v>
      </c>
      <c r="F19" s="1674" t="s">
        <v>819</v>
      </c>
      <c r="G19" s="1660" t="s">
        <v>589</v>
      </c>
      <c r="H19" s="563"/>
      <c r="I19" s="563"/>
      <c r="J19" s="295"/>
      <c r="K19" s="549"/>
      <c r="AF19" s="1637">
        <v>23</v>
      </c>
    </row>
    <row customHeight="1" ht="35.699999999999996">
      <c r="D20" s="1644"/>
      <c r="E20" s="1670" t="s">
        <v>323</v>
      </c>
      <c r="F20" s="1673" t="s">
        <v>820</v>
      </c>
      <c r="G20" s="1660" t="s">
        <v>589</v>
      </c>
      <c r="H20" s="563"/>
      <c r="I20" s="563"/>
      <c r="J20" s="295"/>
      <c r="K20" s="549"/>
      <c r="AF20" s="1637">
        <v>34</v>
      </c>
    </row>
    <row customHeight="1" ht="48.29999999999999">
      <c r="D21" s="1644"/>
      <c r="E21" s="1670" t="s">
        <v>326</v>
      </c>
      <c r="F21" s="1673" t="s">
        <v>821</v>
      </c>
      <c r="G21" s="1660" t="s">
        <v>589</v>
      </c>
      <c r="H21" s="563"/>
      <c r="I21" s="563"/>
      <c r="J21" s="295"/>
      <c r="K21" s="549"/>
      <c r="AF21" s="1637">
        <v>46</v>
      </c>
    </row>
    <row customHeight="1" ht="60">
      <c r="D22" s="1644"/>
      <c r="E22" s="1670" t="s">
        <v>765</v>
      </c>
      <c r="F22" s="1673" t="s">
        <v>822</v>
      </c>
      <c r="G22" s="1660" t="s">
        <v>589</v>
      </c>
      <c r="H22" s="563"/>
      <c r="I22" s="563"/>
      <c r="J22" s="295"/>
      <c r="K22" s="549"/>
      <c r="AF22" s="1637">
        <v>57</v>
      </c>
    </row>
    <row customHeight="1" ht="35.699999999999996">
      <c r="D23" s="1644"/>
      <c r="E23" s="1670" t="s">
        <v>772</v>
      </c>
      <c r="F23" s="1673" t="s">
        <v>823</v>
      </c>
      <c r="G23" s="1660" t="s">
        <v>589</v>
      </c>
      <c r="H23" s="563"/>
      <c r="I23" s="563"/>
      <c r="J23" s="295"/>
      <c r="K23" s="549"/>
      <c r="AF23" s="1637">
        <v>34</v>
      </c>
    </row>
    <row customHeight="1" ht="35.699999999999996">
      <c r="D24" s="1644"/>
      <c r="E24" s="1670" t="s">
        <v>774</v>
      </c>
      <c r="F24" s="1673" t="s">
        <v>824</v>
      </c>
      <c r="G24" s="1660" t="s">
        <v>589</v>
      </c>
      <c r="H24" s="563"/>
      <c r="I24" s="563"/>
      <c r="J24" s="295"/>
      <c r="K24" s="549"/>
      <c r="AF24" s="1637">
        <v>34</v>
      </c>
    </row>
    <row customHeight="1" ht="24">
      <c r="D25" s="1644"/>
      <c r="E25" s="1670" t="s">
        <v>776</v>
      </c>
      <c r="F25" s="1673" t="s">
        <v>825</v>
      </c>
      <c r="G25" s="1660" t="s">
        <v>589</v>
      </c>
      <c r="H25" s="563"/>
      <c r="I25" s="563"/>
      <c r="J25" s="295"/>
      <c r="K25" s="549"/>
      <c r="AF25" s="1637">
        <v>23</v>
      </c>
    </row>
    <row customHeight="1" ht="76.5">
      <c r="D26" s="1644"/>
      <c r="E26" s="1670" t="s">
        <v>778</v>
      </c>
      <c r="F26" s="1673" t="s">
        <v>826</v>
      </c>
      <c r="G26" s="1660" t="s">
        <v>589</v>
      </c>
      <c r="H26" s="563"/>
      <c r="I26" s="563"/>
      <c r="J26" s="295"/>
      <c r="K26" s="549"/>
      <c r="AF26" s="1637">
        <v>73</v>
      </c>
    </row>
    <row s="1372" customFormat="1" customHeight="1" ht="35.699999999999996">
      <c r="A27" s="993"/>
      <c r="C27" s="1642"/>
      <c r="D27" s="1644"/>
      <c r="E27" s="1635" t="s">
        <v>782</v>
      </c>
      <c r="F27" s="1634" t="s">
        <v>827</v>
      </c>
      <c r="G27" s="1661" t="s">
        <v>589</v>
      </c>
      <c r="H27" s="585">
        <f>SUM(H28:H29)</f>
        <v>0</v>
      </c>
      <c r="I27" s="585">
        <f>SUM(I28:I29)</f>
        <v>0</v>
      </c>
      <c r="J27" s="295" t="s">
        <v>780</v>
      </c>
      <c r="K27" s="549"/>
      <c r="L27" s="1642"/>
      <c r="M27" s="1642"/>
      <c r="R27" s="1642"/>
      <c r="U27" s="550"/>
      <c r="AA27" s="1638"/>
      <c r="AB27" s="1638"/>
      <c r="AC27" s="1638"/>
      <c r="AD27" s="1638"/>
      <c r="AE27" s="1638"/>
      <c r="AF27" s="1166">
        <v>34</v>
      </c>
    </row>
    <row s="1648" customFormat="1" customHeight="1" ht="1.05">
      <c r="A28" s="1173"/>
      <c r="D28" s="554"/>
      <c r="E28" s="808" t="str">
        <f>E27&amp;".0"</f>
        <v>2.9.0</v>
      </c>
      <c r="F28" s="997"/>
      <c r="G28" s="557"/>
      <c r="H28" s="998"/>
      <c r="I28" s="998"/>
      <c r="J28" s="999"/>
      <c r="AF28" s="1642">
        <v>1</v>
      </c>
    </row>
    <row s="1372" customFormat="1" customHeight="1" ht="19.95">
      <c r="A29" s="993"/>
      <c r="C29" s="1642"/>
      <c r="D29" s="1639"/>
      <c r="E29" s="576"/>
      <c r="F29" s="1672" t="s">
        <v>614</v>
      </c>
      <c r="G29" s="578"/>
      <c r="H29" s="579"/>
      <c r="I29" s="579"/>
      <c r="J29" s="307" t="s">
        <v>781</v>
      </c>
      <c r="K29" s="549"/>
      <c r="L29" s="1642"/>
      <c r="M29" s="1642"/>
      <c r="R29" s="1642"/>
      <c r="U29" s="550"/>
      <c r="AA29" s="1638"/>
      <c r="AB29" s="1638"/>
      <c r="AC29" s="1638"/>
      <c r="AD29" s="1638"/>
      <c r="AE29" s="1638"/>
      <c r="AF29" s="1166">
        <v>19</v>
      </c>
    </row>
    <row s="1372" customFormat="1" customHeight="1" ht="24">
      <c r="A30" s="993"/>
      <c r="C30" s="1642"/>
      <c r="D30" s="1644"/>
      <c r="E30" s="1670" t="s">
        <v>91</v>
      </c>
      <c r="F30" s="1667" t="s">
        <v>828</v>
      </c>
      <c r="G30" s="1660" t="s">
        <v>589</v>
      </c>
      <c r="H30" s="563"/>
      <c r="I30" s="563"/>
      <c r="J30" s="295"/>
      <c r="K30" s="549"/>
      <c r="L30" s="1642"/>
      <c r="M30" s="1642"/>
      <c r="R30" s="1642"/>
      <c r="U30" s="550"/>
      <c r="AA30" s="1638"/>
      <c r="AB30" s="1638"/>
      <c r="AC30" s="1638"/>
      <c r="AD30" s="1638"/>
      <c r="AE30" s="1638"/>
      <c r="AF30" s="1166">
        <v>23</v>
      </c>
    </row>
    <row s="1372" customFormat="1" customHeight="1" ht="35.699999999999996">
      <c r="A31" s="993"/>
      <c r="C31" s="1642"/>
      <c r="D31" s="581"/>
      <c r="E31" s="1670" t="s">
        <v>92</v>
      </c>
      <c r="F31" s="1667" t="s">
        <v>829</v>
      </c>
      <c r="G31" s="1660" t="s">
        <v>589</v>
      </c>
      <c r="H31" s="563"/>
      <c r="I31" s="563"/>
      <c r="J31" s="295" t="s">
        <v>830</v>
      </c>
      <c r="K31" s="549"/>
      <c r="L31" s="1642"/>
      <c r="M31" s="1642"/>
      <c r="R31" s="1642"/>
      <c r="U31" s="550"/>
      <c r="AA31" s="1638"/>
      <c r="AB31" s="1638"/>
      <c r="AC31" s="1638"/>
      <c r="AD31" s="1638"/>
      <c r="AE31" s="1638"/>
      <c r="AF31" s="1166">
        <v>34</v>
      </c>
    </row>
    <row s="1372" customFormat="1" customHeight="1" ht="24">
      <c r="A32" s="993"/>
      <c r="C32" s="1642"/>
      <c r="D32" s="1644"/>
      <c r="E32" s="1670" t="s">
        <v>790</v>
      </c>
      <c r="F32" s="696" t="s">
        <v>794</v>
      </c>
      <c r="G32" s="1660" t="s">
        <v>589</v>
      </c>
      <c r="H32" s="563"/>
      <c r="I32" s="563"/>
      <c r="J32" s="295" t="s">
        <v>831</v>
      </c>
      <c r="K32" s="549"/>
      <c r="L32" s="1642"/>
      <c r="M32" s="1642"/>
      <c r="R32" s="1642"/>
      <c r="U32" s="550"/>
      <c r="AA32" s="1638"/>
      <c r="AB32" s="1638"/>
      <c r="AC32" s="1638"/>
      <c r="AD32" s="1638"/>
      <c r="AE32" s="1638"/>
      <c r="AF32" s="1166">
        <v>23</v>
      </c>
    </row>
    <row s="1372" customFormat="1" customHeight="1" ht="24">
      <c r="A33" s="993"/>
      <c r="C33" s="1642"/>
      <c r="D33" s="1644"/>
      <c r="E33" s="1670" t="s">
        <v>832</v>
      </c>
      <c r="F33" s="696" t="s">
        <v>833</v>
      </c>
      <c r="G33" s="1660" t="s">
        <v>589</v>
      </c>
      <c r="H33" s="563"/>
      <c r="I33" s="563"/>
      <c r="J33" s="295" t="s">
        <v>834</v>
      </c>
      <c r="K33" s="549"/>
      <c r="L33" s="1642"/>
      <c r="M33" s="1642"/>
      <c r="R33" s="1642"/>
      <c r="U33" s="550"/>
      <c r="AA33" s="1638"/>
      <c r="AB33" s="1638"/>
      <c r="AC33" s="1638"/>
      <c r="AD33" s="1638"/>
      <c r="AE33" s="1638"/>
      <c r="AF33" s="1166">
        <v>23</v>
      </c>
    </row>
    <row s="1372" customFormat="1" customHeight="1" ht="24">
      <c r="A34" s="993"/>
      <c r="C34" s="1642"/>
      <c r="D34" s="1644"/>
      <c r="E34" s="1670" t="s">
        <v>835</v>
      </c>
      <c r="F34" s="696" t="s">
        <v>800</v>
      </c>
      <c r="G34" s="1660" t="s">
        <v>589</v>
      </c>
      <c r="H34" s="563"/>
      <c r="I34" s="563"/>
      <c r="J34" s="295" t="s">
        <v>836</v>
      </c>
      <c r="K34" s="549"/>
      <c r="L34" s="1642"/>
      <c r="M34" s="1642"/>
      <c r="R34" s="1642"/>
      <c r="U34" s="550"/>
      <c r="AA34" s="1638"/>
      <c r="AB34" s="1638"/>
      <c r="AC34" s="1638"/>
      <c r="AD34" s="1638"/>
      <c r="AE34" s="1638"/>
      <c r="AF34" s="1166">
        <v>23</v>
      </c>
    </row>
    <row s="1372" customFormat="1" customHeight="1" ht="35.699999999999996">
      <c r="A35" s="993"/>
      <c r="C35" s="1642" t="s">
        <v>625</v>
      </c>
      <c r="D35" s="1644"/>
      <c r="E35" s="1670" t="s">
        <v>113</v>
      </c>
      <c r="F35" s="1667" t="s">
        <v>666</v>
      </c>
      <c r="G35" s="1663" t="s">
        <v>322</v>
      </c>
      <c r="H35" s="407"/>
      <c r="I35" s="407"/>
      <c r="J35" s="295" t="s">
        <v>837</v>
      </c>
      <c r="K35" s="549"/>
      <c r="L35" s="1642"/>
      <c r="M35" s="1642"/>
      <c r="R35" s="1642"/>
      <c r="U35" s="550"/>
      <c r="AA35" s="1638"/>
      <c r="AB35" s="1638"/>
      <c r="AC35" s="1638"/>
      <c r="AD35" s="1638"/>
      <c r="AE35" s="1638"/>
      <c r="AF35" s="1166">
        <v>34</v>
      </c>
    </row>
    <row s="1372" customFormat="1" customHeight="1" ht="35.699999999999996">
      <c r="A36" s="993"/>
      <c r="C36" s="1642"/>
      <c r="D36" s="1644"/>
      <c r="E36" s="1670" t="s">
        <v>93</v>
      </c>
      <c r="F36" s="1667" t="s">
        <v>838</v>
      </c>
      <c r="G36" s="1660" t="s">
        <v>805</v>
      </c>
      <c r="H36" s="551"/>
      <c r="I36" s="551"/>
      <c r="J36" s="295" t="s">
        <v>806</v>
      </c>
      <c r="K36" s="549"/>
      <c r="L36" s="1642"/>
      <c r="M36" s="1642"/>
      <c r="R36" s="1642"/>
      <c r="U36" s="550"/>
      <c r="AA36" s="1638"/>
      <c r="AB36" s="1638"/>
      <c r="AC36" s="1638"/>
      <c r="AD36" s="1638"/>
      <c r="AE36" s="1638"/>
      <c r="AF36" s="1166">
        <v>34</v>
      </c>
    </row>
    <row s="1372" customFormat="1" customHeight="1" ht="24">
      <c r="A37" s="993"/>
      <c r="C37" s="1642"/>
      <c r="D37" s="1644"/>
      <c r="E37" s="1670" t="s">
        <v>94</v>
      </c>
      <c r="F37" s="1667" t="s">
        <v>839</v>
      </c>
      <c r="G37" s="1660" t="s">
        <v>808</v>
      </c>
      <c r="H37" s="551"/>
      <c r="I37" s="551"/>
      <c r="J37" s="295" t="s">
        <v>809</v>
      </c>
      <c r="K37" s="549"/>
      <c r="L37" s="1642"/>
      <c r="M37" s="1642"/>
      <c r="R37" s="1642"/>
      <c r="U37" s="550"/>
      <c r="AA37" s="1638"/>
      <c r="AB37" s="1638"/>
      <c r="AC37" s="1638"/>
      <c r="AD37" s="1638"/>
      <c r="AE37" s="1638"/>
      <c r="AF37" s="1166">
        <v>23</v>
      </c>
    </row>
    <row customHeight="1" ht="11.549999999999999">
      <c r="D38" s="1644"/>
      <c r="AF38" s="1637">
        <v>11</v>
      </c>
    </row>
    <row customHeight="1" ht="27.299999999999997">
      <c r="D39" s="1644"/>
      <c r="E39" s="1259" t="s">
        <v>840</v>
      </c>
      <c r="F39" s="2291" t="s">
        <v>841</v>
      </c>
      <c r="G39" s="2291"/>
      <c r="H39" s="375"/>
      <c r="I39" s="375"/>
      <c r="J39" s="375"/>
      <c r="AF39" s="1637">
        <v>26</v>
      </c>
    </row>
    <row s="1647" customFormat="1" customHeight="1" ht="39.75">
      <c r="A40" s="993"/>
      <c r="B40" s="1642"/>
      <c r="C40" s="1642"/>
      <c r="D40" s="357"/>
      <c r="F40" s="2291" t="s">
        <v>842</v>
      </c>
      <c r="G40" s="2291"/>
      <c r="H40" s="375"/>
      <c r="I40" s="375"/>
      <c r="J40" s="375"/>
      <c r="K40" s="1166"/>
      <c r="L40" s="1642"/>
      <c r="M40" s="1642"/>
      <c r="N40" s="1166"/>
      <c r="O40" s="1166"/>
      <c r="P40" s="1166"/>
      <c r="Q40" s="1166"/>
      <c r="R40" s="1642"/>
      <c r="S40" s="1166"/>
      <c r="T40" s="1166"/>
      <c r="U40" s="550"/>
      <c r="V40" s="1166"/>
      <c r="W40" s="1166"/>
      <c r="X40" s="1166"/>
      <c r="Y40" s="1166"/>
      <c r="Z40" s="1166"/>
      <c r="AA40" s="1638"/>
      <c r="AB40" s="572"/>
      <c r="AC40" s="572"/>
      <c r="AD40" s="572"/>
      <c r="AE40" s="572"/>
      <c r="AF40" s="1647">
        <v>38</v>
      </c>
    </row>
    <row s="1647" customFormat="1" customHeight="1" ht="11.549999999999999">
      <c r="A41" s="993"/>
      <c r="B41" s="1642"/>
      <c r="C41" s="1642"/>
      <c r="D41" s="357"/>
      <c r="K41" s="1166"/>
      <c r="L41" s="1642"/>
      <c r="M41" s="1642"/>
      <c r="N41" s="1166"/>
      <c r="O41" s="1166"/>
      <c r="P41" s="1166"/>
      <c r="Q41" s="1166"/>
      <c r="R41" s="1642"/>
      <c r="S41" s="1166"/>
      <c r="T41" s="1166"/>
      <c r="U41" s="550"/>
      <c r="V41" s="1166"/>
      <c r="W41" s="1166"/>
      <c r="X41" s="1166"/>
      <c r="Y41" s="1166"/>
      <c r="Z41" s="1166"/>
      <c r="AA41" s="1638"/>
      <c r="AB41" s="572"/>
      <c r="AC41" s="572"/>
      <c r="AD41" s="572"/>
      <c r="AE41" s="572"/>
      <c r="AF41" s="1647">
        <v>11</v>
      </c>
    </row>
    <row s="1647" customFormat="1" customHeight="1" ht="11.549999999999999">
      <c r="A42" s="993"/>
      <c r="B42" s="1642"/>
      <c r="C42" s="1642"/>
      <c r="D42" s="357"/>
      <c r="K42" s="1166"/>
      <c r="L42" s="1642"/>
      <c r="M42" s="1642"/>
      <c r="N42" s="1166"/>
      <c r="O42" s="1166"/>
      <c r="P42" s="1166"/>
      <c r="Q42" s="1166"/>
      <c r="R42" s="1642"/>
      <c r="S42" s="1166"/>
      <c r="T42" s="1166"/>
      <c r="U42" s="550"/>
      <c r="V42" s="1166"/>
      <c r="W42" s="1166"/>
      <c r="X42" s="1166"/>
      <c r="Y42" s="1166"/>
      <c r="Z42" s="1166"/>
      <c r="AA42" s="1638"/>
      <c r="AB42" s="572"/>
      <c r="AC42" s="572"/>
      <c r="AD42" s="572"/>
      <c r="AE42" s="572"/>
      <c r="AF42" s="1647">
        <v>11</v>
      </c>
    </row>
    <row s="1647" customFormat="1" customHeight="1" ht="11.549999999999999">
      <c r="A43" s="993"/>
      <c r="B43" s="1642"/>
      <c r="C43" s="1642"/>
      <c r="D43" s="357"/>
      <c r="H43" s="572"/>
      <c r="I43" s="572"/>
      <c r="K43" s="1166"/>
      <c r="L43" s="1642"/>
      <c r="M43" s="1642"/>
      <c r="N43" s="1166"/>
      <c r="O43" s="1166"/>
      <c r="P43" s="1166"/>
      <c r="Q43" s="1166"/>
      <c r="R43" s="1642"/>
      <c r="S43" s="1166"/>
      <c r="T43" s="1166"/>
      <c r="U43" s="550"/>
      <c r="V43" s="1166"/>
      <c r="W43" s="1166"/>
      <c r="X43" s="1166"/>
      <c r="Y43" s="1166"/>
      <c r="Z43" s="1166"/>
      <c r="AA43" s="1638"/>
      <c r="AB43" s="572"/>
      <c r="AC43" s="572"/>
      <c r="AD43" s="572"/>
      <c r="AE43" s="572"/>
      <c r="AF43" s="1647">
        <v>11</v>
      </c>
    </row>
    <row s="1647" customFormat="1" customHeight="1" ht="11.549999999999999">
      <c r="A44" s="993"/>
      <c r="B44" s="1642"/>
      <c r="C44" s="1642"/>
      <c r="D44" s="357"/>
      <c r="K44" s="1166"/>
      <c r="L44" s="1642"/>
      <c r="M44" s="1642"/>
      <c r="N44" s="1166"/>
      <c r="O44" s="1166"/>
      <c r="P44" s="1166"/>
      <c r="Q44" s="1166"/>
      <c r="R44" s="1642"/>
      <c r="S44" s="1166"/>
      <c r="T44" s="1166"/>
      <c r="U44" s="550"/>
      <c r="V44" s="1166"/>
      <c r="W44" s="1166"/>
      <c r="X44" s="1166"/>
      <c r="Y44" s="1166"/>
      <c r="Z44" s="1166"/>
      <c r="AA44" s="1638"/>
      <c r="AB44" s="572"/>
      <c r="AC44" s="572"/>
      <c r="AD44" s="572"/>
      <c r="AE44" s="572"/>
      <c r="AF44" s="1647">
        <v>11</v>
      </c>
    </row>
    <row s="1647" customFormat="1" customHeight="1" ht="11.549999999999999">
      <c r="A45" s="993"/>
      <c r="B45" s="1642"/>
      <c r="C45" s="1642"/>
      <c r="D45" s="357"/>
      <c r="K45" s="1166"/>
      <c r="L45" s="1642"/>
      <c r="M45" s="1642"/>
      <c r="N45" s="1166"/>
      <c r="O45" s="1166"/>
      <c r="P45" s="1166"/>
      <c r="Q45" s="1166"/>
      <c r="R45" s="1642"/>
      <c r="S45" s="1166"/>
      <c r="T45" s="1166"/>
      <c r="U45" s="550"/>
      <c r="V45" s="1166"/>
      <c r="W45" s="1166"/>
      <c r="X45" s="1166"/>
      <c r="Y45" s="1166"/>
      <c r="Z45" s="1166"/>
      <c r="AA45" s="1638"/>
      <c r="AB45" s="572"/>
      <c r="AC45" s="572"/>
      <c r="AD45" s="572"/>
      <c r="AE45" s="572"/>
      <c r="AF45" s="1647">
        <v>11</v>
      </c>
    </row>
    <row s="1647" customFormat="1" customHeight="1" ht="11.549999999999999">
      <c r="A46" s="993"/>
      <c r="B46" s="1642"/>
      <c r="C46" s="1642"/>
      <c r="D46" s="357"/>
      <c r="K46" s="1166"/>
      <c r="L46" s="1642"/>
      <c r="M46" s="1642"/>
      <c r="N46" s="1166"/>
      <c r="O46" s="1166"/>
      <c r="P46" s="1166"/>
      <c r="Q46" s="1166"/>
      <c r="R46" s="1642"/>
      <c r="S46" s="1166"/>
      <c r="T46" s="1166"/>
      <c r="U46" s="550"/>
      <c r="V46" s="1166"/>
      <c r="W46" s="1166"/>
      <c r="X46" s="1166"/>
      <c r="Y46" s="1166"/>
      <c r="Z46" s="1166"/>
      <c r="AA46" s="1638"/>
      <c r="AB46" s="572"/>
      <c r="AC46" s="572"/>
      <c r="AD46" s="572"/>
      <c r="AE46" s="572"/>
      <c r="AF46" s="1647">
        <v>11</v>
      </c>
    </row>
    <row s="1647" customFormat="1" customHeight="1" ht="11.549999999999999">
      <c r="A47" s="993"/>
      <c r="B47" s="1642"/>
      <c r="C47" s="1642"/>
      <c r="D47" s="357"/>
      <c r="K47" s="1166"/>
      <c r="L47" s="1642"/>
      <c r="M47" s="1642"/>
      <c r="N47" s="1166"/>
      <c r="O47" s="1166"/>
      <c r="P47" s="1166"/>
      <c r="Q47" s="1166"/>
      <c r="R47" s="1642"/>
      <c r="S47" s="1166"/>
      <c r="T47" s="1166"/>
      <c r="U47" s="550"/>
      <c r="V47" s="1166"/>
      <c r="W47" s="1166"/>
      <c r="X47" s="1166"/>
      <c r="Y47" s="1166"/>
      <c r="Z47" s="1166"/>
      <c r="AA47" s="1638"/>
      <c r="AB47" s="572"/>
      <c r="AC47" s="572"/>
      <c r="AD47" s="572"/>
      <c r="AE47" s="572"/>
      <c r="AF47" s="1647">
        <v>11</v>
      </c>
    </row>
    <row s="1647" customFormat="1" customHeight="1" ht="11.549999999999999">
      <c r="A48" s="993"/>
      <c r="B48" s="1642"/>
      <c r="C48" s="1642"/>
      <c r="D48" s="357"/>
      <c r="K48" s="1166"/>
      <c r="L48" s="1642"/>
      <c r="M48" s="1642"/>
      <c r="N48" s="1166"/>
      <c r="O48" s="1166"/>
      <c r="P48" s="1166"/>
      <c r="Q48" s="1166"/>
      <c r="R48" s="1642"/>
      <c r="S48" s="1166"/>
      <c r="T48" s="1166"/>
      <c r="U48" s="550"/>
      <c r="V48" s="1166"/>
      <c r="W48" s="1166"/>
      <c r="X48" s="1166"/>
      <c r="Y48" s="1166"/>
      <c r="Z48" s="1166"/>
      <c r="AA48" s="1638"/>
      <c r="AB48" s="572"/>
      <c r="AC48" s="572"/>
      <c r="AD48" s="572"/>
      <c r="AE48" s="572"/>
      <c r="AF48" s="1647">
        <v>11</v>
      </c>
    </row>
    <row s="1647" customFormat="1" customHeight="1" ht="11.549999999999999">
      <c r="A49" s="993"/>
      <c r="B49" s="1642"/>
      <c r="C49" s="1642"/>
      <c r="D49" s="357"/>
      <c r="K49" s="1166"/>
      <c r="L49" s="1642"/>
      <c r="M49" s="1642"/>
      <c r="N49" s="1166"/>
      <c r="O49" s="1166"/>
      <c r="P49" s="1166"/>
      <c r="Q49" s="1166"/>
      <c r="R49" s="1642"/>
      <c r="S49" s="1166"/>
      <c r="T49" s="1166"/>
      <c r="U49" s="550"/>
      <c r="V49" s="1166"/>
      <c r="W49" s="1166"/>
      <c r="X49" s="1166"/>
      <c r="Y49" s="1166"/>
      <c r="Z49" s="1166"/>
      <c r="AA49" s="1638"/>
      <c r="AB49" s="572"/>
      <c r="AC49" s="572"/>
      <c r="AD49" s="572"/>
      <c r="AE49" s="572"/>
      <c r="AF49" s="1647">
        <v>11</v>
      </c>
    </row>
    <row s="1647" customFormat="1" customHeight="1" ht="11.549999999999999">
      <c r="A50" s="993"/>
      <c r="B50" s="1642"/>
      <c r="C50" s="1642"/>
      <c r="D50" s="357"/>
      <c r="K50" s="1166"/>
      <c r="L50" s="1642"/>
      <c r="M50" s="1642"/>
      <c r="N50" s="1166"/>
      <c r="O50" s="1166"/>
      <c r="P50" s="1166"/>
      <c r="Q50" s="1166"/>
      <c r="R50" s="1642"/>
      <c r="S50" s="1166"/>
      <c r="T50" s="1166"/>
      <c r="U50" s="550"/>
      <c r="V50" s="1166"/>
      <c r="W50" s="1166"/>
      <c r="X50" s="1166"/>
      <c r="Y50" s="1166"/>
      <c r="Z50" s="1166"/>
      <c r="AA50" s="1638"/>
      <c r="AB50" s="572"/>
      <c r="AC50" s="572"/>
      <c r="AD50" s="572"/>
      <c r="AE50" s="572"/>
      <c r="AF50" s="1647">
        <v>11</v>
      </c>
    </row>
    <row s="1647" customFormat="1" customHeight="1" ht="11.549999999999999">
      <c r="A51" s="993"/>
      <c r="B51" s="1642"/>
      <c r="C51" s="1642"/>
      <c r="D51" s="357"/>
      <c r="K51" s="1166"/>
      <c r="L51" s="1642"/>
      <c r="M51" s="1642"/>
      <c r="N51" s="1166"/>
      <c r="O51" s="1166"/>
      <c r="P51" s="1166"/>
      <c r="Q51" s="1166"/>
      <c r="R51" s="1642"/>
      <c r="S51" s="1166"/>
      <c r="T51" s="1166"/>
      <c r="U51" s="550"/>
      <c r="V51" s="1166"/>
      <c r="W51" s="1166"/>
      <c r="X51" s="1166"/>
      <c r="Y51" s="1166"/>
      <c r="Z51" s="1166"/>
      <c r="AA51" s="1638"/>
      <c r="AB51" s="572"/>
      <c r="AC51" s="572"/>
      <c r="AD51" s="572"/>
      <c r="AE51" s="572"/>
      <c r="AF51" s="1647">
        <v>11</v>
      </c>
    </row>
    <row s="1647" customFormat="1" customHeight="1" ht="11.549999999999999">
      <c r="A52" s="993"/>
      <c r="B52" s="1642"/>
      <c r="C52" s="1642"/>
      <c r="D52" s="357"/>
      <c r="K52" s="1166"/>
      <c r="L52" s="1642"/>
      <c r="M52" s="1642"/>
      <c r="N52" s="1166"/>
      <c r="O52" s="1166"/>
      <c r="P52" s="1166"/>
      <c r="Q52" s="1166"/>
      <c r="R52" s="1642"/>
      <c r="S52" s="1166"/>
      <c r="T52" s="1166"/>
      <c r="U52" s="550"/>
      <c r="V52" s="1166"/>
      <c r="W52" s="1166"/>
      <c r="X52" s="1166"/>
      <c r="Y52" s="1166"/>
      <c r="Z52" s="1166"/>
      <c r="AA52" s="1638"/>
      <c r="AB52" s="572"/>
      <c r="AC52" s="572"/>
      <c r="AD52" s="572"/>
      <c r="AE52" s="572"/>
      <c r="AF52" s="1647">
        <v>11</v>
      </c>
    </row>
    <row s="1647" customFormat="1" customHeight="1" ht="11.549999999999999">
      <c r="A53" s="993"/>
      <c r="B53" s="1642"/>
      <c r="C53" s="1642"/>
      <c r="D53" s="357"/>
      <c r="K53" s="1166"/>
      <c r="L53" s="1642"/>
      <c r="M53" s="1642"/>
      <c r="N53" s="1166"/>
      <c r="O53" s="1166"/>
      <c r="P53" s="1166"/>
      <c r="Q53" s="1166"/>
      <c r="R53" s="1642"/>
      <c r="S53" s="1166"/>
      <c r="T53" s="1166"/>
      <c r="U53" s="550"/>
      <c r="V53" s="1166"/>
      <c r="W53" s="1166"/>
      <c r="X53" s="1166"/>
      <c r="Y53" s="1166"/>
      <c r="Z53" s="1166"/>
      <c r="AA53" s="1638"/>
      <c r="AB53" s="572"/>
      <c r="AC53" s="572"/>
      <c r="AD53" s="572"/>
      <c r="AE53" s="572"/>
      <c r="AF53" s="1647">
        <v>11</v>
      </c>
    </row>
    <row s="1647" customFormat="1" customHeight="1" ht="11.549999999999999">
      <c r="A54" s="993"/>
      <c r="B54" s="1642"/>
      <c r="C54" s="1642"/>
      <c r="D54" s="357"/>
      <c r="K54" s="1166"/>
      <c r="L54" s="1642"/>
      <c r="M54" s="1642"/>
      <c r="N54" s="1166"/>
      <c r="O54" s="1166"/>
      <c r="P54" s="1166"/>
      <c r="Q54" s="1166"/>
      <c r="R54" s="1642"/>
      <c r="S54" s="1166"/>
      <c r="T54" s="1166"/>
      <c r="U54" s="550"/>
      <c r="V54" s="1166"/>
      <c r="W54" s="1166"/>
      <c r="X54" s="1166"/>
      <c r="Y54" s="1166"/>
      <c r="Z54" s="1166"/>
      <c r="AA54" s="1638"/>
      <c r="AB54" s="572"/>
      <c r="AC54" s="572"/>
      <c r="AD54" s="572"/>
      <c r="AE54" s="572"/>
      <c r="AF54" s="1647">
        <v>11</v>
      </c>
    </row>
    <row s="1647" customFormat="1" customHeight="1" ht="11.549999999999999">
      <c r="A55" s="993"/>
      <c r="B55" s="1642"/>
      <c r="C55" s="1642"/>
      <c r="D55" s="357"/>
      <c r="K55" s="1166"/>
      <c r="L55" s="1642"/>
      <c r="M55" s="1642"/>
      <c r="N55" s="1166"/>
      <c r="O55" s="1166"/>
      <c r="P55" s="1166"/>
      <c r="Q55" s="1166"/>
      <c r="R55" s="1642"/>
      <c r="S55" s="1166"/>
      <c r="T55" s="1166"/>
      <c r="U55" s="550"/>
      <c r="V55" s="1166"/>
      <c r="W55" s="1166"/>
      <c r="X55" s="1166"/>
      <c r="Y55" s="1166"/>
      <c r="Z55" s="1166"/>
      <c r="AA55" s="1638"/>
      <c r="AB55" s="572"/>
      <c r="AC55" s="572"/>
      <c r="AD55" s="572"/>
      <c r="AE55" s="572"/>
      <c r="AF55" s="1647">
        <v>11</v>
      </c>
    </row>
    <row s="1647" customFormat="1" customHeight="1" ht="11.549999999999999">
      <c r="A56" s="993"/>
      <c r="B56" s="1642"/>
      <c r="C56" s="1642"/>
      <c r="D56" s="357"/>
      <c r="K56" s="1166"/>
      <c r="L56" s="1642"/>
      <c r="M56" s="1642"/>
      <c r="N56" s="1166"/>
      <c r="O56" s="1166"/>
      <c r="P56" s="1166"/>
      <c r="Q56" s="1166"/>
      <c r="R56" s="1642"/>
      <c r="S56" s="1166"/>
      <c r="T56" s="1166"/>
      <c r="U56" s="550"/>
      <c r="V56" s="1166"/>
      <c r="W56" s="1166"/>
      <c r="X56" s="1166"/>
      <c r="Y56" s="1166"/>
      <c r="Z56" s="1166"/>
      <c r="AA56" s="1638"/>
      <c r="AB56" s="572"/>
      <c r="AC56" s="572"/>
      <c r="AD56" s="572"/>
      <c r="AE56" s="572"/>
      <c r="AF56" s="1647">
        <v>11</v>
      </c>
    </row>
    <row s="1647" customFormat="1" customHeight="1" ht="11.549999999999999">
      <c r="A57" s="993"/>
      <c r="B57" s="1642"/>
      <c r="C57" s="1642"/>
      <c r="D57" s="357"/>
      <c r="K57" s="1166"/>
      <c r="L57" s="1642"/>
      <c r="M57" s="1642"/>
      <c r="N57" s="1166"/>
      <c r="O57" s="1166"/>
      <c r="P57" s="1166"/>
      <c r="Q57" s="1166"/>
      <c r="R57" s="1642"/>
      <c r="S57" s="1166"/>
      <c r="T57" s="1166"/>
      <c r="U57" s="550"/>
      <c r="V57" s="1166"/>
      <c r="W57" s="1166"/>
      <c r="X57" s="1166"/>
      <c r="Y57" s="1166"/>
      <c r="Z57" s="1166"/>
      <c r="AA57" s="1638"/>
      <c r="AB57" s="572"/>
      <c r="AC57" s="572"/>
      <c r="AD57" s="572"/>
      <c r="AE57" s="572"/>
      <c r="AF57" s="1647">
        <v>11</v>
      </c>
    </row>
    <row s="1647" customFormat="1" customHeight="1" ht="11.549999999999999">
      <c r="A58" s="993"/>
      <c r="B58" s="1642"/>
      <c r="C58" s="1642"/>
      <c r="D58" s="357"/>
      <c r="K58" s="1166"/>
      <c r="L58" s="1642"/>
      <c r="M58" s="1642"/>
      <c r="N58" s="1166"/>
      <c r="O58" s="1166"/>
      <c r="P58" s="1166"/>
      <c r="Q58" s="1166"/>
      <c r="R58" s="1642"/>
      <c r="S58" s="1166"/>
      <c r="T58" s="1166"/>
      <c r="U58" s="550"/>
      <c r="V58" s="1166"/>
      <c r="W58" s="1166"/>
      <c r="X58" s="1166"/>
      <c r="Y58" s="1166"/>
      <c r="Z58" s="1166"/>
      <c r="AA58" s="1638"/>
      <c r="AB58" s="572"/>
      <c r="AC58" s="572"/>
      <c r="AD58" s="572"/>
      <c r="AE58" s="572"/>
      <c r="AF58" s="1647">
        <v>11</v>
      </c>
    </row>
    <row s="1647" customFormat="1" customHeight="1" ht="11.549999999999999">
      <c r="A59" s="993"/>
      <c r="B59" s="1642"/>
      <c r="C59" s="1642"/>
      <c r="D59" s="357"/>
      <c r="K59" s="1166"/>
      <c r="L59" s="1642"/>
      <c r="M59" s="1642"/>
      <c r="N59" s="1166"/>
      <c r="O59" s="1166"/>
      <c r="P59" s="1166"/>
      <c r="Q59" s="1166"/>
      <c r="R59" s="1642"/>
      <c r="S59" s="1166"/>
      <c r="T59" s="1166"/>
      <c r="U59" s="550"/>
      <c r="V59" s="1166"/>
      <c r="W59" s="1166"/>
      <c r="X59" s="1166"/>
      <c r="Y59" s="1166"/>
      <c r="Z59" s="1166"/>
      <c r="AA59" s="1638"/>
      <c r="AB59" s="572"/>
      <c r="AC59" s="572"/>
      <c r="AD59" s="572"/>
      <c r="AE59" s="572"/>
      <c r="AF59" s="1647">
        <v>11</v>
      </c>
    </row>
    <row s="1647" customFormat="1" customHeight="1" ht="11.549999999999999">
      <c r="A60" s="993"/>
      <c r="B60" s="1642"/>
      <c r="C60" s="1642"/>
      <c r="D60" s="357"/>
      <c r="K60" s="1166"/>
      <c r="L60" s="1642"/>
      <c r="M60" s="1642"/>
      <c r="N60" s="1166"/>
      <c r="O60" s="1166"/>
      <c r="P60" s="1166"/>
      <c r="Q60" s="1166"/>
      <c r="R60" s="1642"/>
      <c r="S60" s="1166"/>
      <c r="T60" s="1166"/>
      <c r="U60" s="550"/>
      <c r="V60" s="1166"/>
      <c r="W60" s="1166"/>
      <c r="X60" s="1166"/>
      <c r="Y60" s="1166"/>
      <c r="Z60" s="1166"/>
      <c r="AA60" s="1638"/>
      <c r="AB60" s="572"/>
      <c r="AC60" s="572"/>
      <c r="AD60" s="572"/>
      <c r="AE60" s="572"/>
      <c r="AF60" s="1647">
        <v>11</v>
      </c>
    </row>
    <row s="1647" customFormat="1" customHeight="1" ht="11.549999999999999">
      <c r="A61" s="993"/>
      <c r="B61" s="1642"/>
      <c r="C61" s="1642"/>
      <c r="D61" s="357"/>
      <c r="K61" s="1166"/>
      <c r="L61" s="1642"/>
      <c r="M61" s="1642"/>
      <c r="N61" s="1166"/>
      <c r="O61" s="1166"/>
      <c r="P61" s="1166"/>
      <c r="Q61" s="1166"/>
      <c r="R61" s="1642"/>
      <c r="S61" s="1166"/>
      <c r="T61" s="1166"/>
      <c r="U61" s="550"/>
      <c r="V61" s="1166"/>
      <c r="W61" s="1166"/>
      <c r="X61" s="1166"/>
      <c r="Y61" s="1166"/>
      <c r="Z61" s="1166"/>
      <c r="AA61" s="1638"/>
      <c r="AB61" s="572"/>
      <c r="AC61" s="572"/>
      <c r="AD61" s="572"/>
      <c r="AE61" s="572"/>
      <c r="AF61" s="1647">
        <v>11</v>
      </c>
    </row>
    <row s="1647" customFormat="1" customHeight="1" ht="11.549999999999999">
      <c r="A62" s="993"/>
      <c r="B62" s="1642"/>
      <c r="C62" s="1642"/>
      <c r="D62" s="357"/>
      <c r="K62" s="1166"/>
      <c r="L62" s="1642"/>
      <c r="M62" s="1642"/>
      <c r="N62" s="1166"/>
      <c r="O62" s="1166"/>
      <c r="P62" s="1166"/>
      <c r="Q62" s="1166"/>
      <c r="R62" s="1642"/>
      <c r="S62" s="1166"/>
      <c r="T62" s="1166"/>
      <c r="U62" s="550"/>
      <c r="V62" s="1166"/>
      <c r="W62" s="1166"/>
      <c r="X62" s="1166"/>
      <c r="Y62" s="1166"/>
      <c r="Z62" s="1166"/>
      <c r="AA62" s="1638"/>
      <c r="AB62" s="572"/>
      <c r="AC62" s="572"/>
      <c r="AD62" s="572"/>
      <c r="AE62" s="572"/>
      <c r="AF62" s="1647">
        <v>11</v>
      </c>
    </row>
    <row s="1647" customFormat="1" customHeight="1" ht="11.549999999999999">
      <c r="A63" s="993"/>
      <c r="B63" s="1642"/>
      <c r="C63" s="1642"/>
      <c r="D63" s="357"/>
      <c r="K63" s="1166"/>
      <c r="L63" s="1642"/>
      <c r="M63" s="1642"/>
      <c r="N63" s="1166"/>
      <c r="O63" s="1166"/>
      <c r="P63" s="1166"/>
      <c r="Q63" s="1166"/>
      <c r="R63" s="1642"/>
      <c r="S63" s="1166"/>
      <c r="T63" s="1166"/>
      <c r="U63" s="550"/>
      <c r="V63" s="1166"/>
      <c r="W63" s="1166"/>
      <c r="X63" s="1166"/>
      <c r="Y63" s="1166"/>
      <c r="Z63" s="1166"/>
      <c r="AA63" s="1638"/>
      <c r="AB63" s="572"/>
      <c r="AC63" s="572"/>
      <c r="AD63" s="572"/>
      <c r="AE63" s="572"/>
      <c r="AF63" s="1647">
        <v>11</v>
      </c>
    </row>
    <row s="1647" customFormat="1" customHeight="1" ht="11.549999999999999">
      <c r="A64" s="993"/>
      <c r="B64" s="1642"/>
      <c r="C64" s="1642"/>
      <c r="D64" s="357"/>
      <c r="K64" s="1166"/>
      <c r="L64" s="1642"/>
      <c r="M64" s="1642"/>
      <c r="N64" s="1166"/>
      <c r="O64" s="1166"/>
      <c r="P64" s="1166"/>
      <c r="Q64" s="1166"/>
      <c r="R64" s="1642"/>
      <c r="S64" s="1166"/>
      <c r="T64" s="1166"/>
      <c r="U64" s="550"/>
      <c r="V64" s="1166"/>
      <c r="W64" s="1166"/>
      <c r="X64" s="1166"/>
      <c r="Y64" s="1166"/>
      <c r="Z64" s="1166"/>
      <c r="AA64" s="1638"/>
      <c r="AB64" s="572"/>
      <c r="AC64" s="572"/>
      <c r="AD64" s="572"/>
      <c r="AE64" s="572"/>
      <c r="AF64" s="1647">
        <v>11</v>
      </c>
    </row>
    <row s="1647" customFormat="1" customHeight="1" ht="11.549999999999999">
      <c r="A65" s="993"/>
      <c r="B65" s="1642"/>
      <c r="C65" s="1642"/>
      <c r="D65" s="357"/>
      <c r="K65" s="1166"/>
      <c r="L65" s="1642"/>
      <c r="M65" s="1642"/>
      <c r="N65" s="1166"/>
      <c r="O65" s="1166"/>
      <c r="P65" s="1166"/>
      <c r="Q65" s="1166"/>
      <c r="R65" s="1642"/>
      <c r="S65" s="1166"/>
      <c r="T65" s="1166"/>
      <c r="U65" s="550"/>
      <c r="V65" s="1166"/>
      <c r="W65" s="1166"/>
      <c r="X65" s="1166"/>
      <c r="Y65" s="1166"/>
      <c r="Z65" s="1166"/>
      <c r="AA65" s="1638"/>
      <c r="AB65" s="572"/>
      <c r="AC65" s="572"/>
      <c r="AD65" s="572"/>
      <c r="AE65" s="572"/>
      <c r="AF65" s="1647">
        <v>11</v>
      </c>
    </row>
    <row s="1647" customFormat="1" customHeight="1" ht="11.549999999999999">
      <c r="A66" s="993"/>
      <c r="B66" s="1642"/>
      <c r="C66" s="1642"/>
      <c r="D66" s="357"/>
      <c r="K66" s="1166"/>
      <c r="L66" s="1642"/>
      <c r="M66" s="1642"/>
      <c r="N66" s="1166"/>
      <c r="O66" s="1166"/>
      <c r="P66" s="1166"/>
      <c r="Q66" s="1166"/>
      <c r="R66" s="1642"/>
      <c r="S66" s="1166"/>
      <c r="T66" s="1166"/>
      <c r="U66" s="550"/>
      <c r="V66" s="1166"/>
      <c r="W66" s="1166"/>
      <c r="X66" s="1166"/>
      <c r="Y66" s="1166"/>
      <c r="Z66" s="1166"/>
      <c r="AA66" s="1638"/>
      <c r="AB66" s="572"/>
      <c r="AC66" s="572"/>
      <c r="AD66" s="572"/>
      <c r="AE66" s="572"/>
      <c r="AF66" s="1647">
        <v>11</v>
      </c>
    </row>
    <row s="1647" customFormat="1" customHeight="1" ht="11.549999999999999">
      <c r="A67" s="993"/>
      <c r="B67" s="1642"/>
      <c r="C67" s="1642"/>
      <c r="D67" s="357"/>
      <c r="K67" s="1166"/>
      <c r="L67" s="1642"/>
      <c r="M67" s="1642"/>
      <c r="N67" s="1166"/>
      <c r="O67" s="1166"/>
      <c r="P67" s="1166"/>
      <c r="Q67" s="1166"/>
      <c r="R67" s="1642"/>
      <c r="S67" s="1166"/>
      <c r="T67" s="1166"/>
      <c r="U67" s="550"/>
      <c r="V67" s="1166"/>
      <c r="W67" s="1166"/>
      <c r="X67" s="1166"/>
      <c r="Y67" s="1166"/>
      <c r="Z67" s="1166"/>
      <c r="AA67" s="1638"/>
      <c r="AB67" s="572"/>
      <c r="AC67" s="572"/>
      <c r="AD67" s="572"/>
      <c r="AE67" s="572"/>
      <c r="AF67" s="1647">
        <v>11</v>
      </c>
    </row>
    <row s="1647" customFormat="1" customHeight="1" ht="11.549999999999999">
      <c r="A68" s="993"/>
      <c r="B68" s="1642"/>
      <c r="C68" s="1642"/>
      <c r="D68" s="357"/>
      <c r="K68" s="1166"/>
      <c r="L68" s="1642"/>
      <c r="M68" s="1642"/>
      <c r="N68" s="1166"/>
      <c r="O68" s="1166"/>
      <c r="P68" s="1166"/>
      <c r="Q68" s="1166"/>
      <c r="R68" s="1642"/>
      <c r="S68" s="1166"/>
      <c r="T68" s="1166"/>
      <c r="U68" s="550"/>
      <c r="V68" s="1166"/>
      <c r="W68" s="1166"/>
      <c r="X68" s="1166"/>
      <c r="Y68" s="1166"/>
      <c r="Z68" s="1166"/>
      <c r="AA68" s="1638"/>
      <c r="AB68" s="572"/>
      <c r="AC68" s="572"/>
      <c r="AD68" s="572"/>
      <c r="AE68" s="572"/>
      <c r="AF68" s="1647">
        <v>11</v>
      </c>
    </row>
    <row s="1647" customFormat="1" customHeight="1" ht="11.549999999999999">
      <c r="A69" s="993"/>
      <c r="B69" s="1642"/>
      <c r="C69" s="1642"/>
      <c r="D69" s="357"/>
      <c r="K69" s="1166"/>
      <c r="L69" s="1642"/>
      <c r="M69" s="1642"/>
      <c r="N69" s="1166"/>
      <c r="O69" s="1166"/>
      <c r="P69" s="1166"/>
      <c r="Q69" s="1166"/>
      <c r="R69" s="1642"/>
      <c r="S69" s="1166"/>
      <c r="T69" s="1166"/>
      <c r="U69" s="550"/>
      <c r="V69" s="1166"/>
      <c r="W69" s="1166"/>
      <c r="X69" s="1166"/>
      <c r="Y69" s="1166"/>
      <c r="Z69" s="1166"/>
      <c r="AA69" s="1638"/>
      <c r="AB69" s="572"/>
      <c r="AC69" s="572"/>
      <c r="AD69" s="572"/>
      <c r="AE69" s="572"/>
      <c r="AF69" s="1647">
        <v>11</v>
      </c>
    </row>
    <row s="1647" customFormat="1" customHeight="1" ht="11.549999999999999">
      <c r="A70" s="993"/>
      <c r="B70" s="1642"/>
      <c r="C70" s="1642"/>
      <c r="D70" s="357"/>
      <c r="K70" s="1166"/>
      <c r="L70" s="1642"/>
      <c r="M70" s="1642"/>
      <c r="N70" s="1166"/>
      <c r="O70" s="1166"/>
      <c r="P70" s="1166"/>
      <c r="Q70" s="1166"/>
      <c r="R70" s="1642"/>
      <c r="S70" s="1166"/>
      <c r="T70" s="1166"/>
      <c r="U70" s="550"/>
      <c r="V70" s="1166"/>
      <c r="W70" s="1166"/>
      <c r="X70" s="1166"/>
      <c r="Y70" s="1166"/>
      <c r="Z70" s="1166"/>
      <c r="AA70" s="1638"/>
      <c r="AB70" s="572"/>
      <c r="AC70" s="572"/>
      <c r="AD70" s="572"/>
      <c r="AE70" s="572"/>
      <c r="AF70" s="1647">
        <v>11</v>
      </c>
    </row>
    <row s="1647" customFormat="1" customHeight="1" ht="11.549999999999999">
      <c r="A71" s="993"/>
      <c r="B71" s="1642"/>
      <c r="C71" s="1642"/>
      <c r="D71" s="357"/>
      <c r="K71" s="1166"/>
      <c r="L71" s="1642"/>
      <c r="M71" s="1642"/>
      <c r="N71" s="1166"/>
      <c r="O71" s="1166"/>
      <c r="P71" s="1166"/>
      <c r="Q71" s="1166"/>
      <c r="R71" s="1642"/>
      <c r="S71" s="1166"/>
      <c r="T71" s="1166"/>
      <c r="U71" s="550"/>
      <c r="V71" s="1166"/>
      <c r="W71" s="1166"/>
      <c r="X71" s="1166"/>
      <c r="Y71" s="1166"/>
      <c r="Z71" s="1166"/>
      <c r="AA71" s="1638"/>
      <c r="AB71" s="572"/>
      <c r="AC71" s="572"/>
      <c r="AD71" s="572"/>
      <c r="AE71" s="572"/>
      <c r="AF71" s="1647">
        <v>11</v>
      </c>
    </row>
    <row s="1647" customFormat="1" customHeight="1" ht="11.549999999999999">
      <c r="A72" s="993"/>
      <c r="B72" s="1642"/>
      <c r="C72" s="1642"/>
      <c r="D72" s="357"/>
      <c r="K72" s="1166"/>
      <c r="L72" s="1642"/>
      <c r="M72" s="1642"/>
      <c r="N72" s="1166"/>
      <c r="O72" s="1166"/>
      <c r="P72" s="1166"/>
      <c r="Q72" s="1166"/>
      <c r="R72" s="1642"/>
      <c r="S72" s="1166"/>
      <c r="T72" s="1166"/>
      <c r="U72" s="550"/>
      <c r="V72" s="1166"/>
      <c r="W72" s="1166"/>
      <c r="X72" s="1166"/>
      <c r="Y72" s="1166"/>
      <c r="Z72" s="1166"/>
      <c r="AA72" s="1638"/>
      <c r="AB72" s="572"/>
      <c r="AC72" s="572"/>
      <c r="AD72" s="572"/>
      <c r="AE72" s="572"/>
      <c r="AF72" s="1647">
        <v>11</v>
      </c>
    </row>
    <row s="1647" customFormat="1" customHeight="1" ht="11.549999999999999">
      <c r="A73" s="993"/>
      <c r="B73" s="1642"/>
      <c r="C73" s="1642"/>
      <c r="D73" s="357"/>
      <c r="K73" s="1166"/>
      <c r="L73" s="1642"/>
      <c r="M73" s="1642"/>
      <c r="N73" s="1166"/>
      <c r="O73" s="1166"/>
      <c r="P73" s="1166"/>
      <c r="Q73" s="1166"/>
      <c r="R73" s="1642"/>
      <c r="S73" s="1166"/>
      <c r="T73" s="1166"/>
      <c r="U73" s="550"/>
      <c r="V73" s="1166"/>
      <c r="W73" s="1166"/>
      <c r="X73" s="1166"/>
      <c r="Y73" s="1166"/>
      <c r="Z73" s="1166"/>
      <c r="AA73" s="1638"/>
      <c r="AB73" s="572"/>
      <c r="AC73" s="572"/>
      <c r="AD73" s="572"/>
      <c r="AE73" s="572"/>
      <c r="AF73" s="1647">
        <v>11</v>
      </c>
    </row>
    <row s="1647" customFormat="1" customHeight="1" ht="11.549999999999999">
      <c r="A74" s="993"/>
      <c r="B74" s="1642"/>
      <c r="C74" s="1642"/>
      <c r="D74" s="357"/>
      <c r="K74" s="1166"/>
      <c r="L74" s="1642"/>
      <c r="M74" s="1642"/>
      <c r="N74" s="1166"/>
      <c r="O74" s="1166"/>
      <c r="P74" s="1166"/>
      <c r="Q74" s="1166"/>
      <c r="R74" s="1642"/>
      <c r="S74" s="1166"/>
      <c r="T74" s="1166"/>
      <c r="U74" s="550"/>
      <c r="V74" s="1166"/>
      <c r="W74" s="1166"/>
      <c r="X74" s="1166"/>
      <c r="Y74" s="1166"/>
      <c r="Z74" s="1166"/>
      <c r="AA74" s="1638"/>
      <c r="AB74" s="572"/>
      <c r="AC74" s="572"/>
      <c r="AD74" s="572"/>
      <c r="AE74" s="572"/>
      <c r="AF74" s="1647">
        <v>11</v>
      </c>
    </row>
    <row s="1647" customFormat="1" customHeight="1" ht="11.549999999999999">
      <c r="A75" s="993"/>
      <c r="B75" s="1642"/>
      <c r="C75" s="1642"/>
      <c r="D75" s="357"/>
      <c r="K75" s="1166"/>
      <c r="L75" s="1642"/>
      <c r="M75" s="1642"/>
      <c r="N75" s="1166"/>
      <c r="O75" s="1166"/>
      <c r="P75" s="1166"/>
      <c r="Q75" s="1166"/>
      <c r="R75" s="1642"/>
      <c r="S75" s="1166"/>
      <c r="T75" s="1166"/>
      <c r="U75" s="550"/>
      <c r="V75" s="1166"/>
      <c r="W75" s="1166"/>
      <c r="X75" s="1166"/>
      <c r="Y75" s="1166"/>
      <c r="Z75" s="1166"/>
      <c r="AA75" s="1638"/>
      <c r="AB75" s="572"/>
      <c r="AC75" s="572"/>
      <c r="AD75" s="572"/>
      <c r="AE75" s="572"/>
      <c r="AF75" s="1647">
        <v>11</v>
      </c>
    </row>
    <row s="1647" customFormat="1" customHeight="1" ht="11.549999999999999">
      <c r="A76" s="993"/>
      <c r="B76" s="1642"/>
      <c r="C76" s="1642"/>
      <c r="D76" s="357"/>
      <c r="K76" s="1166"/>
      <c r="L76" s="1642"/>
      <c r="M76" s="1642"/>
      <c r="N76" s="1166"/>
      <c r="O76" s="1166"/>
      <c r="P76" s="1166"/>
      <c r="Q76" s="1166"/>
      <c r="R76" s="1642"/>
      <c r="S76" s="1166"/>
      <c r="T76" s="1166"/>
      <c r="U76" s="550"/>
      <c r="V76" s="1166"/>
      <c r="W76" s="1166"/>
      <c r="X76" s="1166"/>
      <c r="Y76" s="1166"/>
      <c r="Z76" s="1166"/>
      <c r="AA76" s="1638"/>
      <c r="AB76" s="572"/>
      <c r="AC76" s="572"/>
      <c r="AD76" s="572"/>
      <c r="AE76" s="572"/>
      <c r="AF76" s="1647">
        <v>11</v>
      </c>
    </row>
    <row s="1647" customFormat="1" customHeight="1" ht="11.549999999999999">
      <c r="A77" s="993"/>
      <c r="B77" s="1642"/>
      <c r="C77" s="1642"/>
      <c r="D77" s="357"/>
      <c r="K77" s="1166"/>
      <c r="L77" s="1642"/>
      <c r="M77" s="1642"/>
      <c r="N77" s="1166"/>
      <c r="O77" s="1166"/>
      <c r="P77" s="1166"/>
      <c r="Q77" s="1166"/>
      <c r="R77" s="1642"/>
      <c r="S77" s="1166"/>
      <c r="T77" s="1166"/>
      <c r="U77" s="550"/>
      <c r="V77" s="1166"/>
      <c r="W77" s="1166"/>
      <c r="X77" s="1166"/>
      <c r="Y77" s="1166"/>
      <c r="Z77" s="1166"/>
      <c r="AA77" s="1638"/>
      <c r="AB77" s="572"/>
      <c r="AC77" s="572"/>
      <c r="AD77" s="572"/>
      <c r="AE77" s="572"/>
      <c r="AF77" s="1647">
        <v>11</v>
      </c>
    </row>
    <row s="1647" customFormat="1" customHeight="1" ht="11.549999999999999">
      <c r="A78" s="993"/>
      <c r="B78" s="1642"/>
      <c r="C78" s="1642"/>
      <c r="D78" s="357"/>
      <c r="K78" s="1166"/>
      <c r="L78" s="1642"/>
      <c r="M78" s="1642"/>
      <c r="N78" s="1166"/>
      <c r="O78" s="1166"/>
      <c r="P78" s="1166"/>
      <c r="Q78" s="1166"/>
      <c r="R78" s="1642"/>
      <c r="S78" s="1166"/>
      <c r="T78" s="1166"/>
      <c r="U78" s="550"/>
      <c r="V78" s="1166"/>
      <c r="W78" s="1166"/>
      <c r="X78" s="1166"/>
      <c r="Y78" s="1166"/>
      <c r="Z78" s="1166"/>
      <c r="AA78" s="1638"/>
      <c r="AB78" s="572"/>
      <c r="AC78" s="572"/>
      <c r="AD78" s="572"/>
      <c r="AE78" s="572"/>
      <c r="AF78" s="1647">
        <v>11</v>
      </c>
    </row>
    <row s="1647" customFormat="1" customHeight="1" ht="11.549999999999999">
      <c r="A79" s="993"/>
      <c r="B79" s="1642"/>
      <c r="C79" s="1642"/>
      <c r="D79" s="357"/>
      <c r="K79" s="1166"/>
      <c r="L79" s="1642"/>
      <c r="M79" s="1642"/>
      <c r="N79" s="1166"/>
      <c r="O79" s="1166"/>
      <c r="P79" s="1166"/>
      <c r="Q79" s="1166"/>
      <c r="R79" s="1642"/>
      <c r="S79" s="1166"/>
      <c r="T79" s="1166"/>
      <c r="U79" s="550"/>
      <c r="V79" s="1166"/>
      <c r="W79" s="1166"/>
      <c r="X79" s="1166"/>
      <c r="Y79" s="1166"/>
      <c r="Z79" s="1166"/>
      <c r="AA79" s="1638"/>
      <c r="AB79" s="572"/>
      <c r="AC79" s="572"/>
      <c r="AD79" s="572"/>
      <c r="AE79" s="572"/>
      <c r="AF79" s="1647">
        <v>11</v>
      </c>
    </row>
    <row s="1647" customFormat="1" customHeight="1" ht="11.549999999999999">
      <c r="A80" s="993"/>
      <c r="B80" s="1642"/>
      <c r="C80" s="1642"/>
      <c r="D80" s="357"/>
      <c r="K80" s="1166"/>
      <c r="L80" s="1642"/>
      <c r="M80" s="1642"/>
      <c r="N80" s="1166"/>
      <c r="O80" s="1166"/>
      <c r="P80" s="1166"/>
      <c r="Q80" s="1166"/>
      <c r="R80" s="1642"/>
      <c r="S80" s="1166"/>
      <c r="T80" s="1166"/>
      <c r="U80" s="550"/>
      <c r="V80" s="1166"/>
      <c r="W80" s="1166"/>
      <c r="X80" s="1166"/>
      <c r="Y80" s="1166"/>
      <c r="Z80" s="1166"/>
      <c r="AA80" s="1638"/>
      <c r="AB80" s="572"/>
      <c r="AC80" s="572"/>
      <c r="AD80" s="572"/>
      <c r="AE80" s="572"/>
      <c r="AF80" s="1647">
        <v>11</v>
      </c>
    </row>
    <row s="1647" customFormat="1" customHeight="1" ht="11.549999999999999">
      <c r="A81" s="993"/>
      <c r="B81" s="1642"/>
      <c r="C81" s="1642"/>
      <c r="D81" s="357"/>
      <c r="K81" s="1166"/>
      <c r="L81" s="1642"/>
      <c r="M81" s="1642"/>
      <c r="N81" s="1166"/>
      <c r="O81" s="1166"/>
      <c r="P81" s="1166"/>
      <c r="Q81" s="1166"/>
      <c r="R81" s="1642"/>
      <c r="S81" s="1166"/>
      <c r="T81" s="1166"/>
      <c r="U81" s="550"/>
      <c r="V81" s="1166"/>
      <c r="W81" s="1166"/>
      <c r="X81" s="1166"/>
      <c r="Y81" s="1166"/>
      <c r="Z81" s="1166"/>
      <c r="AA81" s="1638"/>
      <c r="AB81" s="572"/>
      <c r="AC81" s="572"/>
      <c r="AD81" s="572"/>
      <c r="AE81" s="572"/>
      <c r="AF81" s="1647">
        <v>11</v>
      </c>
    </row>
    <row s="1647" customFormat="1" customHeight="1" ht="11.549999999999999">
      <c r="A82" s="993"/>
      <c r="B82" s="1642"/>
      <c r="C82" s="1642"/>
      <c r="D82" s="357"/>
      <c r="K82" s="1166"/>
      <c r="L82" s="1642"/>
      <c r="M82" s="1642"/>
      <c r="N82" s="1166"/>
      <c r="O82" s="1166"/>
      <c r="P82" s="1166"/>
      <c r="Q82" s="1166"/>
      <c r="R82" s="1642"/>
      <c r="S82" s="1166"/>
      <c r="T82" s="1166"/>
      <c r="U82" s="550"/>
      <c r="V82" s="1166"/>
      <c r="W82" s="1166"/>
      <c r="X82" s="1166"/>
      <c r="Y82" s="1166"/>
      <c r="Z82" s="1166"/>
      <c r="AA82" s="1638"/>
      <c r="AB82" s="572"/>
      <c r="AC82" s="572"/>
      <c r="AD82" s="572"/>
      <c r="AE82" s="572"/>
      <c r="AF82" s="1647">
        <v>11</v>
      </c>
    </row>
    <row s="1647" customFormat="1" customHeight="1" ht="11.549999999999999">
      <c r="A83" s="993"/>
      <c r="B83" s="1642"/>
      <c r="C83" s="1642"/>
      <c r="D83" s="357"/>
      <c r="K83" s="1166"/>
      <c r="L83" s="1642"/>
      <c r="M83" s="1642"/>
      <c r="N83" s="1166"/>
      <c r="O83" s="1166"/>
      <c r="P83" s="1166"/>
      <c r="Q83" s="1166"/>
      <c r="R83" s="1642"/>
      <c r="S83" s="1166"/>
      <c r="T83" s="1166"/>
      <c r="U83" s="550"/>
      <c r="V83" s="1166"/>
      <c r="W83" s="1166"/>
      <c r="X83" s="1166"/>
      <c r="Y83" s="1166"/>
      <c r="Z83" s="1166"/>
      <c r="AA83" s="1638"/>
      <c r="AB83" s="572"/>
      <c r="AC83" s="572"/>
      <c r="AD83" s="572"/>
      <c r="AE83" s="572"/>
      <c r="AF83" s="1647">
        <v>11</v>
      </c>
    </row>
    <row s="1647" customFormat="1" customHeight="1" ht="11.549999999999999">
      <c r="A84" s="993"/>
      <c r="B84" s="1642"/>
      <c r="C84" s="1642"/>
      <c r="D84" s="357"/>
      <c r="K84" s="1166"/>
      <c r="L84" s="1642"/>
      <c r="M84" s="1642"/>
      <c r="N84" s="1166"/>
      <c r="O84" s="1166"/>
      <c r="P84" s="1166"/>
      <c r="Q84" s="1166"/>
      <c r="R84" s="1642"/>
      <c r="S84" s="1166"/>
      <c r="T84" s="1166"/>
      <c r="U84" s="550"/>
      <c r="V84" s="1166"/>
      <c r="W84" s="1166"/>
      <c r="X84" s="1166"/>
      <c r="Y84" s="1166"/>
      <c r="Z84" s="1166"/>
      <c r="AA84" s="1638"/>
      <c r="AB84" s="572"/>
      <c r="AC84" s="572"/>
      <c r="AD84" s="572"/>
      <c r="AE84" s="572"/>
      <c r="AF84" s="1647">
        <v>11</v>
      </c>
    </row>
    <row s="1647" customFormat="1" customHeight="1" ht="11.549999999999999">
      <c r="A85" s="993"/>
      <c r="B85" s="1642"/>
      <c r="C85" s="1642"/>
      <c r="D85" s="357"/>
      <c r="K85" s="1166"/>
      <c r="L85" s="1642"/>
      <c r="M85" s="1642"/>
      <c r="N85" s="1166"/>
      <c r="O85" s="1166"/>
      <c r="P85" s="1166"/>
      <c r="Q85" s="1166"/>
      <c r="R85" s="1642"/>
      <c r="S85" s="1166"/>
      <c r="T85" s="1166"/>
      <c r="U85" s="550"/>
      <c r="V85" s="1166"/>
      <c r="W85" s="1166"/>
      <c r="X85" s="1166"/>
      <c r="Y85" s="1166"/>
      <c r="Z85" s="1166"/>
      <c r="AA85" s="1638"/>
      <c r="AB85" s="572"/>
      <c r="AC85" s="572"/>
      <c r="AD85" s="572"/>
      <c r="AE85" s="572"/>
      <c r="AF85" s="1647">
        <v>11</v>
      </c>
    </row>
    <row s="1647" customFormat="1" customHeight="1" ht="11.549999999999999">
      <c r="A86" s="993"/>
      <c r="B86" s="1642"/>
      <c r="C86" s="1642"/>
      <c r="D86" s="357"/>
      <c r="K86" s="1166"/>
      <c r="L86" s="1642"/>
      <c r="M86" s="1642"/>
      <c r="N86" s="1166"/>
      <c r="O86" s="1166"/>
      <c r="P86" s="1166"/>
      <c r="Q86" s="1166"/>
      <c r="R86" s="1642"/>
      <c r="S86" s="1166"/>
      <c r="T86" s="1166"/>
      <c r="U86" s="550"/>
      <c r="V86" s="1166"/>
      <c r="W86" s="1166"/>
      <c r="X86" s="1166"/>
      <c r="Y86" s="1166"/>
      <c r="Z86" s="1166"/>
      <c r="AA86" s="1638"/>
      <c r="AB86" s="572"/>
      <c r="AC86" s="572"/>
      <c r="AD86" s="572"/>
      <c r="AE86" s="572"/>
      <c r="AF86" s="1647">
        <v>11</v>
      </c>
    </row>
    <row s="1647" customFormat="1" customHeight="1" ht="11.549999999999999">
      <c r="A87" s="993"/>
      <c r="B87" s="1642"/>
      <c r="C87" s="1642"/>
      <c r="D87" s="357"/>
      <c r="K87" s="1166"/>
      <c r="L87" s="1642"/>
      <c r="M87" s="1642"/>
      <c r="N87" s="1166"/>
      <c r="O87" s="1166"/>
      <c r="P87" s="1166"/>
      <c r="Q87" s="1166"/>
      <c r="R87" s="1642"/>
      <c r="S87" s="1166"/>
      <c r="T87" s="1166"/>
      <c r="U87" s="550"/>
      <c r="V87" s="1166"/>
      <c r="W87" s="1166"/>
      <c r="X87" s="1166"/>
      <c r="Y87" s="1166"/>
      <c r="Z87" s="1166"/>
      <c r="AA87" s="1638"/>
      <c r="AB87" s="572"/>
      <c r="AC87" s="572"/>
      <c r="AD87" s="572"/>
      <c r="AE87" s="572"/>
      <c r="AF87" s="1647">
        <v>11</v>
      </c>
    </row>
    <row s="1647" customFormat="1" customHeight="1" ht="11.549999999999999">
      <c r="A88" s="993"/>
      <c r="B88" s="1642"/>
      <c r="C88" s="1642"/>
      <c r="D88" s="357"/>
      <c r="K88" s="1166"/>
      <c r="L88" s="1642"/>
      <c r="M88" s="1642"/>
      <c r="N88" s="1166"/>
      <c r="O88" s="1166"/>
      <c r="P88" s="1166"/>
      <c r="Q88" s="1166"/>
      <c r="R88" s="1642"/>
      <c r="S88" s="1166"/>
      <c r="T88" s="1166"/>
      <c r="U88" s="550"/>
      <c r="V88" s="1166"/>
      <c r="W88" s="1166"/>
      <c r="X88" s="1166"/>
      <c r="Y88" s="1166"/>
      <c r="Z88" s="1166"/>
      <c r="AA88" s="1638"/>
      <c r="AB88" s="572"/>
      <c r="AC88" s="572"/>
      <c r="AD88" s="572"/>
      <c r="AE88" s="572"/>
      <c r="AF88" s="1647">
        <v>11</v>
      </c>
    </row>
    <row s="1647" customFormat="1" customHeight="1" ht="11.549999999999999">
      <c r="A89" s="993"/>
      <c r="B89" s="1642"/>
      <c r="C89" s="1642"/>
      <c r="D89" s="357"/>
      <c r="K89" s="1166"/>
      <c r="L89" s="1642"/>
      <c r="M89" s="1642"/>
      <c r="N89" s="1166"/>
      <c r="O89" s="1166"/>
      <c r="P89" s="1166"/>
      <c r="Q89" s="1166"/>
      <c r="R89" s="1642"/>
      <c r="S89" s="1166"/>
      <c r="T89" s="1166"/>
      <c r="U89" s="550"/>
      <c r="V89" s="1166"/>
      <c r="W89" s="1166"/>
      <c r="X89" s="1166"/>
      <c r="Y89" s="1166"/>
      <c r="Z89" s="1166"/>
      <c r="AA89" s="1638"/>
      <c r="AB89" s="572"/>
      <c r="AC89" s="572"/>
      <c r="AD89" s="572"/>
      <c r="AE89" s="572"/>
      <c r="AF89" s="1647">
        <v>11</v>
      </c>
    </row>
    <row s="1647" customFormat="1" customHeight="1" ht="11.549999999999999">
      <c r="A90" s="993"/>
      <c r="B90" s="1642"/>
      <c r="C90" s="1642"/>
      <c r="D90" s="357"/>
      <c r="K90" s="1166"/>
      <c r="L90" s="1642"/>
      <c r="M90" s="1642"/>
      <c r="N90" s="1166"/>
      <c r="O90" s="1166"/>
      <c r="P90" s="1166"/>
      <c r="Q90" s="1166"/>
      <c r="R90" s="1642"/>
      <c r="S90" s="1166"/>
      <c r="T90" s="1166"/>
      <c r="U90" s="550"/>
      <c r="V90" s="1166"/>
      <c r="W90" s="1166"/>
      <c r="X90" s="1166"/>
      <c r="Y90" s="1166"/>
      <c r="Z90" s="1166"/>
      <c r="AA90" s="1638"/>
      <c r="AB90" s="572"/>
      <c r="AC90" s="572"/>
      <c r="AD90" s="572"/>
      <c r="AE90" s="572"/>
      <c r="AF90" s="1647">
        <v>11</v>
      </c>
    </row>
    <row s="1647" customFormat="1" customHeight="1" ht="11.549999999999999">
      <c r="A91" s="993"/>
      <c r="B91" s="1642"/>
      <c r="C91" s="1642"/>
      <c r="D91" s="357"/>
      <c r="K91" s="1166"/>
      <c r="L91" s="1642"/>
      <c r="M91" s="1642"/>
      <c r="N91" s="1166"/>
      <c r="O91" s="1166"/>
      <c r="P91" s="1166"/>
      <c r="Q91" s="1166"/>
      <c r="R91" s="1642"/>
      <c r="S91" s="1166"/>
      <c r="T91" s="1166"/>
      <c r="U91" s="550"/>
      <c r="V91" s="1166"/>
      <c r="W91" s="1166"/>
      <c r="X91" s="1166"/>
      <c r="Y91" s="1166"/>
      <c r="Z91" s="1166"/>
      <c r="AA91" s="1638"/>
      <c r="AB91" s="572"/>
      <c r="AC91" s="572"/>
      <c r="AD91" s="572"/>
      <c r="AE91" s="572"/>
      <c r="AF91" s="1647">
        <v>11</v>
      </c>
    </row>
    <row s="1647" customFormat="1" customHeight="1" ht="11.549999999999999">
      <c r="A92" s="993"/>
      <c r="B92" s="1642"/>
      <c r="C92" s="1642"/>
      <c r="D92" s="357"/>
      <c r="K92" s="1166"/>
      <c r="L92" s="1642"/>
      <c r="M92" s="1642"/>
      <c r="N92" s="1166"/>
      <c r="O92" s="1166"/>
      <c r="P92" s="1166"/>
      <c r="Q92" s="1166"/>
      <c r="R92" s="1642"/>
      <c r="S92" s="1166"/>
      <c r="T92" s="1166"/>
      <c r="U92" s="550"/>
      <c r="V92" s="1166"/>
      <c r="W92" s="1166"/>
      <c r="X92" s="1166"/>
      <c r="Y92" s="1166"/>
      <c r="Z92" s="1166"/>
      <c r="AA92" s="1638"/>
      <c r="AB92" s="572"/>
      <c r="AC92" s="572"/>
      <c r="AD92" s="572"/>
      <c r="AE92" s="572"/>
      <c r="AF92" s="1647">
        <v>11</v>
      </c>
    </row>
    <row s="1647" customFormat="1" customHeight="1" ht="11.549999999999999">
      <c r="A93" s="993"/>
      <c r="B93" s="1642"/>
      <c r="C93" s="1642"/>
      <c r="D93" s="357"/>
      <c r="K93" s="1166"/>
      <c r="L93" s="1642"/>
      <c r="M93" s="1642"/>
      <c r="N93" s="1166"/>
      <c r="O93" s="1166"/>
      <c r="P93" s="1166"/>
      <c r="Q93" s="1166"/>
      <c r="R93" s="1642"/>
      <c r="S93" s="1166"/>
      <c r="T93" s="1166"/>
      <c r="U93" s="550"/>
      <c r="V93" s="1166"/>
      <c r="W93" s="1166"/>
      <c r="X93" s="1166"/>
      <c r="Y93" s="1166"/>
      <c r="Z93" s="1166"/>
      <c r="AA93" s="1638"/>
      <c r="AB93" s="572"/>
      <c r="AC93" s="572"/>
      <c r="AD93" s="572"/>
      <c r="AE93" s="572"/>
      <c r="AF93" s="1647">
        <v>11</v>
      </c>
    </row>
    <row s="1647" customFormat="1" customHeight="1" ht="11.549999999999999">
      <c r="A94" s="993"/>
      <c r="B94" s="1642"/>
      <c r="C94" s="1642"/>
      <c r="D94" s="357"/>
      <c r="K94" s="1166"/>
      <c r="L94" s="1642"/>
      <c r="M94" s="1642"/>
      <c r="N94" s="1166"/>
      <c r="O94" s="1166"/>
      <c r="P94" s="1166"/>
      <c r="Q94" s="1166"/>
      <c r="R94" s="1642"/>
      <c r="S94" s="1166"/>
      <c r="T94" s="1166"/>
      <c r="U94" s="550"/>
      <c r="V94" s="1166"/>
      <c r="W94" s="1166"/>
      <c r="X94" s="1166"/>
      <c r="Y94" s="1166"/>
      <c r="Z94" s="1166"/>
      <c r="AA94" s="1638"/>
      <c r="AB94" s="572"/>
      <c r="AC94" s="572"/>
      <c r="AD94" s="572"/>
      <c r="AE94" s="572"/>
      <c r="AF94" s="1647">
        <v>11</v>
      </c>
    </row>
    <row s="1647" customFormat="1" customHeight="1" ht="11.549999999999999">
      <c r="A95" s="993"/>
      <c r="B95" s="1642"/>
      <c r="C95" s="1642"/>
      <c r="D95" s="357"/>
      <c r="K95" s="1166"/>
      <c r="L95" s="1642"/>
      <c r="M95" s="1642"/>
      <c r="N95" s="1166"/>
      <c r="O95" s="1166"/>
      <c r="P95" s="1166"/>
      <c r="Q95" s="1166"/>
      <c r="R95" s="1642"/>
      <c r="S95" s="1166"/>
      <c r="T95" s="1166"/>
      <c r="U95" s="550"/>
      <c r="V95" s="1166"/>
      <c r="W95" s="1166"/>
      <c r="X95" s="1166"/>
      <c r="Y95" s="1166"/>
      <c r="Z95" s="1166"/>
      <c r="AA95" s="1638"/>
      <c r="AB95" s="572"/>
      <c r="AC95" s="572"/>
      <c r="AD95" s="572"/>
      <c r="AE95" s="572"/>
      <c r="AF95" s="1647">
        <v>11</v>
      </c>
    </row>
    <row s="1647" customFormat="1" customHeight="1" ht="11.549999999999999">
      <c r="A96" s="993"/>
      <c r="B96" s="1642"/>
      <c r="C96" s="1642"/>
      <c r="D96" s="357"/>
      <c r="K96" s="1166"/>
      <c r="L96" s="1642"/>
      <c r="M96" s="1642"/>
      <c r="N96" s="1166"/>
      <c r="O96" s="1166"/>
      <c r="P96" s="1166"/>
      <c r="Q96" s="1166"/>
      <c r="R96" s="1642"/>
      <c r="S96" s="1166"/>
      <c r="T96" s="1166"/>
      <c r="U96" s="550"/>
      <c r="V96" s="1166"/>
      <c r="W96" s="1166"/>
      <c r="X96" s="1166"/>
      <c r="Y96" s="1166"/>
      <c r="Z96" s="1166"/>
      <c r="AA96" s="1638"/>
      <c r="AB96" s="572"/>
      <c r="AC96" s="572"/>
      <c r="AD96" s="572"/>
      <c r="AE96" s="572"/>
      <c r="AF96" s="1647">
        <v>11</v>
      </c>
    </row>
    <row s="1647" customFormat="1" customHeight="1" ht="11.549999999999999">
      <c r="A97" s="993"/>
      <c r="B97" s="1642"/>
      <c r="C97" s="1642"/>
      <c r="D97" s="357"/>
      <c r="K97" s="1166"/>
      <c r="L97" s="1642"/>
      <c r="M97" s="1642"/>
      <c r="N97" s="1166"/>
      <c r="O97" s="1166"/>
      <c r="P97" s="1166"/>
      <c r="Q97" s="1166"/>
      <c r="R97" s="1642"/>
      <c r="S97" s="1166"/>
      <c r="T97" s="1166"/>
      <c r="U97" s="550"/>
      <c r="V97" s="1166"/>
      <c r="W97" s="1166"/>
      <c r="X97" s="1166"/>
      <c r="Y97" s="1166"/>
      <c r="Z97" s="1166"/>
      <c r="AA97" s="1638"/>
      <c r="AB97" s="572"/>
      <c r="AC97" s="572"/>
      <c r="AD97" s="572"/>
      <c r="AE97" s="572"/>
      <c r="AF97" s="1647">
        <v>11</v>
      </c>
    </row>
    <row s="1647" customFormat="1" customHeight="1" ht="11.549999999999999">
      <c r="A98" s="993"/>
      <c r="B98" s="1642"/>
      <c r="C98" s="1642"/>
      <c r="D98" s="357"/>
      <c r="K98" s="1166"/>
      <c r="L98" s="1642"/>
      <c r="M98" s="1642"/>
      <c r="N98" s="1166"/>
      <c r="O98" s="1166"/>
      <c r="P98" s="1166"/>
      <c r="Q98" s="1166"/>
      <c r="R98" s="1642"/>
      <c r="S98" s="1166"/>
      <c r="T98" s="1166"/>
      <c r="U98" s="550"/>
      <c r="V98" s="1166"/>
      <c r="W98" s="1166"/>
      <c r="X98" s="1166"/>
      <c r="Y98" s="1166"/>
      <c r="Z98" s="1166"/>
      <c r="AA98" s="1638"/>
      <c r="AB98" s="572"/>
      <c r="AC98" s="572"/>
      <c r="AD98" s="572"/>
      <c r="AE98" s="572"/>
      <c r="AF98" s="1647">
        <v>11</v>
      </c>
    </row>
    <row s="1647" customFormat="1" customHeight="1" ht="11.549999999999999">
      <c r="A99" s="993"/>
      <c r="B99" s="1642"/>
      <c r="C99" s="1642"/>
      <c r="D99" s="357"/>
      <c r="K99" s="1166"/>
      <c r="L99" s="1642"/>
      <c r="M99" s="1642"/>
      <c r="N99" s="1166"/>
      <c r="O99" s="1166"/>
      <c r="P99" s="1166"/>
      <c r="Q99" s="1166"/>
      <c r="R99" s="1642"/>
      <c r="S99" s="1166"/>
      <c r="T99" s="1166"/>
      <c r="U99" s="550"/>
      <c r="V99" s="1166"/>
      <c r="W99" s="1166"/>
      <c r="X99" s="1166"/>
      <c r="Y99" s="1166"/>
      <c r="Z99" s="1166"/>
      <c r="AA99" s="1638"/>
      <c r="AB99" s="572"/>
      <c r="AC99" s="572"/>
      <c r="AD99" s="572"/>
      <c r="AE99" s="572"/>
      <c r="AF99" s="1647">
        <v>11</v>
      </c>
    </row>
    <row s="1647" customFormat="1" customHeight="1" ht="11.549999999999999">
      <c r="A100" s="993"/>
      <c r="B100" s="1642"/>
      <c r="C100" s="1642"/>
      <c r="D100" s="357"/>
      <c r="K100" s="1166"/>
      <c r="L100" s="1642"/>
      <c r="M100" s="1642"/>
      <c r="N100" s="1166"/>
      <c r="O100" s="1166"/>
      <c r="P100" s="1166"/>
      <c r="Q100" s="1166"/>
      <c r="R100" s="1642"/>
      <c r="S100" s="1166"/>
      <c r="T100" s="1166"/>
      <c r="U100" s="550"/>
      <c r="V100" s="1166"/>
      <c r="W100" s="1166"/>
      <c r="X100" s="1166"/>
      <c r="Y100" s="1166"/>
      <c r="Z100" s="1166"/>
      <c r="AA100" s="1638"/>
      <c r="AB100" s="572"/>
      <c r="AC100" s="572"/>
      <c r="AD100" s="572"/>
      <c r="AE100" s="572"/>
      <c r="AF100" s="1647">
        <v>11</v>
      </c>
    </row>
    <row s="1647" customFormat="1" customHeight="1" ht="11.549999999999999">
      <c r="A101" s="993"/>
      <c r="B101" s="1642"/>
      <c r="C101" s="1642"/>
      <c r="D101" s="357"/>
      <c r="K101" s="1166"/>
      <c r="L101" s="1642"/>
      <c r="M101" s="1642"/>
      <c r="N101" s="1166"/>
      <c r="O101" s="1166"/>
      <c r="P101" s="1166"/>
      <c r="Q101" s="1166"/>
      <c r="R101" s="1642"/>
      <c r="S101" s="1166"/>
      <c r="T101" s="1166"/>
      <c r="U101" s="550"/>
      <c r="V101" s="1166"/>
      <c r="W101" s="1166"/>
      <c r="X101" s="1166"/>
      <c r="Y101" s="1166"/>
      <c r="Z101" s="1166"/>
      <c r="AA101" s="1638"/>
      <c r="AB101" s="572"/>
      <c r="AC101" s="572"/>
      <c r="AD101" s="572"/>
      <c r="AE101" s="572"/>
      <c r="AF101" s="1647">
        <v>11</v>
      </c>
    </row>
    <row s="1647" customFormat="1" customHeight="1" ht="11.549999999999999">
      <c r="A102" s="993"/>
      <c r="B102" s="1642"/>
      <c r="C102" s="1642"/>
      <c r="D102" s="357"/>
      <c r="K102" s="1166"/>
      <c r="L102" s="1642"/>
      <c r="M102" s="1642"/>
      <c r="N102" s="1166"/>
      <c r="O102" s="1166"/>
      <c r="P102" s="1166"/>
      <c r="Q102" s="1166"/>
      <c r="R102" s="1642"/>
      <c r="S102" s="1166"/>
      <c r="T102" s="1166"/>
      <c r="U102" s="550"/>
      <c r="V102" s="1166"/>
      <c r="W102" s="1166"/>
      <c r="X102" s="1166"/>
      <c r="Y102" s="1166"/>
      <c r="Z102" s="1166"/>
      <c r="AA102" s="1638"/>
      <c r="AB102" s="572"/>
      <c r="AC102" s="572"/>
      <c r="AD102" s="572"/>
      <c r="AE102" s="572"/>
      <c r="AF102" s="1647">
        <v>11</v>
      </c>
    </row>
    <row s="1647" customFormat="1" customHeight="1" ht="11.549999999999999">
      <c r="A103" s="993"/>
      <c r="B103" s="1642"/>
      <c r="C103" s="1642"/>
      <c r="D103" s="357"/>
      <c r="K103" s="1166"/>
      <c r="L103" s="1642"/>
      <c r="M103" s="1642"/>
      <c r="N103" s="1166"/>
      <c r="O103" s="1166"/>
      <c r="P103" s="1166"/>
      <c r="Q103" s="1166"/>
      <c r="R103" s="1642"/>
      <c r="S103" s="1166"/>
      <c r="T103" s="1166"/>
      <c r="U103" s="550"/>
      <c r="V103" s="1166"/>
      <c r="W103" s="1166"/>
      <c r="X103" s="1166"/>
      <c r="Y103" s="1166"/>
      <c r="Z103" s="1166"/>
      <c r="AA103" s="1638"/>
      <c r="AB103" s="572"/>
      <c r="AC103" s="572"/>
      <c r="AD103" s="572"/>
      <c r="AE103" s="572"/>
      <c r="AF103" s="1647">
        <v>11</v>
      </c>
    </row>
    <row s="1647" customFormat="1" customHeight="1" ht="11.549999999999999">
      <c r="A104" s="993"/>
      <c r="B104" s="1642"/>
      <c r="C104" s="1642"/>
      <c r="D104" s="357"/>
      <c r="K104" s="1166"/>
      <c r="L104" s="1642"/>
      <c r="M104" s="1642"/>
      <c r="N104" s="1166"/>
      <c r="O104" s="1166"/>
      <c r="P104" s="1166"/>
      <c r="Q104" s="1166"/>
      <c r="R104" s="1642"/>
      <c r="S104" s="1166"/>
      <c r="T104" s="1166"/>
      <c r="U104" s="550"/>
      <c r="V104" s="1166"/>
      <c r="W104" s="1166"/>
      <c r="X104" s="1166"/>
      <c r="Y104" s="1166"/>
      <c r="Z104" s="1166"/>
      <c r="AA104" s="1638"/>
      <c r="AB104" s="572"/>
      <c r="AC104" s="572"/>
      <c r="AD104" s="572"/>
      <c r="AE104" s="572"/>
      <c r="AF104" s="1647">
        <v>11</v>
      </c>
    </row>
    <row s="1647" customFormat="1" customHeight="1" ht="11.549999999999999">
      <c r="A105" s="993"/>
      <c r="B105" s="1642"/>
      <c r="C105" s="1642"/>
      <c r="D105" s="357"/>
      <c r="K105" s="1166"/>
      <c r="L105" s="1642"/>
      <c r="M105" s="1642"/>
      <c r="N105" s="1166"/>
      <c r="O105" s="1166"/>
      <c r="P105" s="1166"/>
      <c r="Q105" s="1166"/>
      <c r="R105" s="1642"/>
      <c r="S105" s="1166"/>
      <c r="T105" s="1166"/>
      <c r="U105" s="550"/>
      <c r="V105" s="1166"/>
      <c r="W105" s="1166"/>
      <c r="X105" s="1166"/>
      <c r="Y105" s="1166"/>
      <c r="Z105" s="1166"/>
      <c r="AA105" s="1638"/>
      <c r="AB105" s="572"/>
      <c r="AC105" s="572"/>
      <c r="AD105" s="572"/>
      <c r="AE105" s="572"/>
      <c r="AF105" s="1647">
        <v>11</v>
      </c>
    </row>
    <row s="1647" customFormat="1" customHeight="1" ht="11.549999999999999">
      <c r="A106" s="993"/>
      <c r="B106" s="1642"/>
      <c r="C106" s="1642"/>
      <c r="D106" s="357"/>
      <c r="K106" s="1166"/>
      <c r="L106" s="1642"/>
      <c r="M106" s="1642"/>
      <c r="N106" s="1166"/>
      <c r="O106" s="1166"/>
      <c r="P106" s="1166"/>
      <c r="Q106" s="1166"/>
      <c r="R106" s="1642"/>
      <c r="S106" s="1166"/>
      <c r="T106" s="1166"/>
      <c r="U106" s="550"/>
      <c r="V106" s="1166"/>
      <c r="W106" s="1166"/>
      <c r="X106" s="1166"/>
      <c r="Y106" s="1166"/>
      <c r="Z106" s="1166"/>
      <c r="AA106" s="1638"/>
      <c r="AB106" s="572"/>
      <c r="AC106" s="572"/>
      <c r="AD106" s="572"/>
      <c r="AE106" s="572"/>
      <c r="AF106" s="1647">
        <v>11</v>
      </c>
    </row>
    <row s="1647" customFormat="1" customHeight="1" ht="11.549999999999999">
      <c r="A107" s="993"/>
      <c r="B107" s="1642"/>
      <c r="C107" s="1642"/>
      <c r="D107" s="357"/>
      <c r="K107" s="1166"/>
      <c r="L107" s="1642"/>
      <c r="M107" s="1642"/>
      <c r="N107" s="1166"/>
      <c r="O107" s="1166"/>
      <c r="P107" s="1166"/>
      <c r="Q107" s="1166"/>
      <c r="R107" s="1642"/>
      <c r="S107" s="1166"/>
      <c r="T107" s="1166"/>
      <c r="U107" s="550"/>
      <c r="V107" s="1166"/>
      <c r="W107" s="1166"/>
      <c r="X107" s="1166"/>
      <c r="Y107" s="1166"/>
      <c r="Z107" s="1166"/>
      <c r="AA107" s="1638"/>
      <c r="AB107" s="572"/>
      <c r="AC107" s="572"/>
      <c r="AD107" s="572"/>
      <c r="AE107" s="572"/>
      <c r="AF107" s="1647">
        <v>11</v>
      </c>
    </row>
    <row s="1647" customFormat="1" customHeight="1" ht="11.549999999999999">
      <c r="A108" s="993"/>
      <c r="B108" s="1642"/>
      <c r="C108" s="1642"/>
      <c r="D108" s="357"/>
      <c r="K108" s="1166"/>
      <c r="L108" s="1642"/>
      <c r="M108" s="1642"/>
      <c r="N108" s="1166"/>
      <c r="O108" s="1166"/>
      <c r="P108" s="1166"/>
      <c r="Q108" s="1166"/>
      <c r="R108" s="1642"/>
      <c r="S108" s="1166"/>
      <c r="T108" s="1166"/>
      <c r="U108" s="550"/>
      <c r="V108" s="1166"/>
      <c r="W108" s="1166"/>
      <c r="X108" s="1166"/>
      <c r="Y108" s="1166"/>
      <c r="Z108" s="1166"/>
      <c r="AA108" s="1638"/>
      <c r="AB108" s="572"/>
      <c r="AC108" s="572"/>
      <c r="AD108" s="572"/>
      <c r="AE108" s="572"/>
      <c r="AF108" s="1647">
        <v>11</v>
      </c>
    </row>
    <row s="1647" customFormat="1" customHeight="1" ht="11.549999999999999">
      <c r="A109" s="993"/>
      <c r="B109" s="1642"/>
      <c r="C109" s="1642"/>
      <c r="D109" s="357"/>
      <c r="K109" s="1166"/>
      <c r="L109" s="1642"/>
      <c r="M109" s="1642"/>
      <c r="N109" s="1166"/>
      <c r="O109" s="1166"/>
      <c r="P109" s="1166"/>
      <c r="Q109" s="1166"/>
      <c r="R109" s="1642"/>
      <c r="S109" s="1166"/>
      <c r="T109" s="1166"/>
      <c r="U109" s="550"/>
      <c r="V109" s="1166"/>
      <c r="W109" s="1166"/>
      <c r="X109" s="1166"/>
      <c r="Y109" s="1166"/>
      <c r="Z109" s="1166"/>
      <c r="AA109" s="1638"/>
      <c r="AB109" s="572"/>
      <c r="AC109" s="572"/>
      <c r="AD109" s="572"/>
      <c r="AE109" s="572"/>
      <c r="AF109" s="1647">
        <v>11</v>
      </c>
    </row>
    <row s="1647" customFormat="1" customHeight="1" ht="11.549999999999999">
      <c r="A110" s="993"/>
      <c r="B110" s="1642"/>
      <c r="C110" s="1642"/>
      <c r="D110" s="357"/>
      <c r="K110" s="1166"/>
      <c r="L110" s="1642"/>
      <c r="M110" s="1642"/>
      <c r="N110" s="1166"/>
      <c r="O110" s="1166"/>
      <c r="P110" s="1166"/>
      <c r="Q110" s="1166"/>
      <c r="R110" s="1642"/>
      <c r="S110" s="1166"/>
      <c r="T110" s="1166"/>
      <c r="U110" s="550"/>
      <c r="V110" s="1166"/>
      <c r="W110" s="1166"/>
      <c r="X110" s="1166"/>
      <c r="Y110" s="1166"/>
      <c r="Z110" s="1166"/>
      <c r="AA110" s="1638"/>
      <c r="AB110" s="572"/>
      <c r="AC110" s="572"/>
      <c r="AD110" s="572"/>
      <c r="AE110" s="572"/>
      <c r="AF110" s="1647">
        <v>11</v>
      </c>
    </row>
    <row s="1647" customFormat="1" customHeight="1" ht="11.549999999999999">
      <c r="A111" s="993"/>
      <c r="B111" s="1642"/>
      <c r="C111" s="1642"/>
      <c r="D111" s="357"/>
      <c r="K111" s="1166"/>
      <c r="L111" s="1642"/>
      <c r="M111" s="1642"/>
      <c r="N111" s="1166"/>
      <c r="O111" s="1166"/>
      <c r="P111" s="1166"/>
      <c r="Q111" s="1166"/>
      <c r="R111" s="1642"/>
      <c r="S111" s="1166"/>
      <c r="T111" s="1166"/>
      <c r="U111" s="550"/>
      <c r="V111" s="1166"/>
      <c r="W111" s="1166"/>
      <c r="X111" s="1166"/>
      <c r="Y111" s="1166"/>
      <c r="Z111" s="1166"/>
      <c r="AA111" s="1638"/>
      <c r="AB111" s="572"/>
      <c r="AC111" s="572"/>
      <c r="AD111" s="572"/>
      <c r="AE111" s="572"/>
      <c r="AF111" s="1647">
        <v>11</v>
      </c>
    </row>
    <row s="1647" customFormat="1" customHeight="1" ht="11.549999999999999">
      <c r="A112" s="993"/>
      <c r="B112" s="1642"/>
      <c r="C112" s="1642"/>
      <c r="D112" s="357"/>
      <c r="K112" s="1166"/>
      <c r="L112" s="1642"/>
      <c r="M112" s="1642"/>
      <c r="N112" s="1166"/>
      <c r="O112" s="1166"/>
      <c r="P112" s="1166"/>
      <c r="Q112" s="1166"/>
      <c r="R112" s="1642"/>
      <c r="S112" s="1166"/>
      <c r="T112" s="1166"/>
      <c r="U112" s="550"/>
      <c r="V112" s="1166"/>
      <c r="W112" s="1166"/>
      <c r="X112" s="1166"/>
      <c r="Y112" s="1166"/>
      <c r="Z112" s="1166"/>
      <c r="AA112" s="1638"/>
      <c r="AB112" s="572"/>
      <c r="AC112" s="572"/>
      <c r="AD112" s="572"/>
      <c r="AE112" s="572"/>
      <c r="AF112" s="1647">
        <v>11</v>
      </c>
    </row>
    <row s="1647" customFormat="1" customHeight="1" ht="11.549999999999999">
      <c r="A113" s="993"/>
      <c r="B113" s="1642"/>
      <c r="C113" s="1642"/>
      <c r="D113" s="357"/>
      <c r="K113" s="1166"/>
      <c r="L113" s="1642"/>
      <c r="M113" s="1642"/>
      <c r="N113" s="1166"/>
      <c r="O113" s="1166"/>
      <c r="P113" s="1166"/>
      <c r="Q113" s="1166"/>
      <c r="R113" s="1642"/>
      <c r="S113" s="1166"/>
      <c r="T113" s="1166"/>
      <c r="U113" s="550"/>
      <c r="V113" s="1166"/>
      <c r="W113" s="1166"/>
      <c r="X113" s="1166"/>
      <c r="Y113" s="1166"/>
      <c r="Z113" s="1166"/>
      <c r="AA113" s="1638"/>
      <c r="AB113" s="572"/>
      <c r="AC113" s="572"/>
      <c r="AD113" s="572"/>
      <c r="AE113" s="572"/>
      <c r="AF113" s="1647">
        <v>11</v>
      </c>
    </row>
    <row s="1647" customFormat="1" customHeight="1" ht="11.549999999999999">
      <c r="A114" s="993"/>
      <c r="B114" s="1642"/>
      <c r="C114" s="1642"/>
      <c r="D114" s="357"/>
      <c r="K114" s="1166"/>
      <c r="L114" s="1642"/>
      <c r="M114" s="1642"/>
      <c r="N114" s="1166"/>
      <c r="O114" s="1166"/>
      <c r="P114" s="1166"/>
      <c r="Q114" s="1166"/>
      <c r="R114" s="1642"/>
      <c r="S114" s="1166"/>
      <c r="T114" s="1166"/>
      <c r="U114" s="550"/>
      <c r="V114" s="1166"/>
      <c r="W114" s="1166"/>
      <c r="X114" s="1166"/>
      <c r="Y114" s="1166"/>
      <c r="Z114" s="1166"/>
      <c r="AA114" s="1638"/>
      <c r="AB114" s="572"/>
      <c r="AC114" s="572"/>
      <c r="AD114" s="572"/>
      <c r="AE114" s="572"/>
      <c r="AF114" s="1647">
        <v>11</v>
      </c>
    </row>
    <row s="1647" customFormat="1" customHeight="1" ht="11.549999999999999">
      <c r="A115" s="993"/>
      <c r="B115" s="1642"/>
      <c r="C115" s="1642"/>
      <c r="D115" s="357"/>
      <c r="K115" s="1166"/>
      <c r="L115" s="1642"/>
      <c r="M115" s="1642"/>
      <c r="N115" s="1166"/>
      <c r="O115" s="1166"/>
      <c r="P115" s="1166"/>
      <c r="Q115" s="1166"/>
      <c r="R115" s="1642"/>
      <c r="S115" s="1166"/>
      <c r="T115" s="1166"/>
      <c r="U115" s="550"/>
      <c r="V115" s="1166"/>
      <c r="W115" s="1166"/>
      <c r="X115" s="1166"/>
      <c r="Y115" s="1166"/>
      <c r="Z115" s="1166"/>
      <c r="AA115" s="1638"/>
      <c r="AB115" s="572"/>
      <c r="AC115" s="572"/>
      <c r="AD115" s="572"/>
      <c r="AE115" s="572"/>
      <c r="AF115" s="1647">
        <v>11</v>
      </c>
    </row>
    <row s="1647" customFormat="1" customHeight="1" ht="11.549999999999999">
      <c r="A116" s="993"/>
      <c r="B116" s="1642"/>
      <c r="C116" s="1642"/>
      <c r="D116" s="357"/>
      <c r="K116" s="1166"/>
      <c r="L116" s="1642"/>
      <c r="M116" s="1642"/>
      <c r="N116" s="1166"/>
      <c r="O116" s="1166"/>
      <c r="P116" s="1166"/>
      <c r="Q116" s="1166"/>
      <c r="R116" s="1642"/>
      <c r="S116" s="1166"/>
      <c r="T116" s="1166"/>
      <c r="U116" s="550"/>
      <c r="V116" s="1166"/>
      <c r="W116" s="1166"/>
      <c r="X116" s="1166"/>
      <c r="Y116" s="1166"/>
      <c r="Z116" s="1166"/>
      <c r="AA116" s="1638"/>
      <c r="AB116" s="572"/>
      <c r="AC116" s="572"/>
      <c r="AD116" s="572"/>
      <c r="AE116" s="572"/>
      <c r="AF116" s="1647">
        <v>11</v>
      </c>
    </row>
    <row s="1647" customFormat="1" customHeight="1" ht="11.549999999999999">
      <c r="A117" s="993"/>
      <c r="B117" s="1642"/>
      <c r="C117" s="1642"/>
      <c r="D117" s="357"/>
      <c r="K117" s="1166"/>
      <c r="L117" s="1642"/>
      <c r="M117" s="1642"/>
      <c r="N117" s="1166"/>
      <c r="O117" s="1166"/>
      <c r="P117" s="1166"/>
      <c r="Q117" s="1166"/>
      <c r="R117" s="1642"/>
      <c r="S117" s="1166"/>
      <c r="T117" s="1166"/>
      <c r="U117" s="550"/>
      <c r="V117" s="1166"/>
      <c r="W117" s="1166"/>
      <c r="X117" s="1166"/>
      <c r="Y117" s="1166"/>
      <c r="Z117" s="1166"/>
      <c r="AA117" s="1638"/>
      <c r="AB117" s="572"/>
      <c r="AC117" s="572"/>
      <c r="AD117" s="572"/>
      <c r="AE117" s="572"/>
      <c r="AF117" s="1647">
        <v>11</v>
      </c>
    </row>
    <row s="1647" customFormat="1" customHeight="1" ht="11.549999999999999">
      <c r="A118" s="993"/>
      <c r="B118" s="1642"/>
      <c r="C118" s="1642"/>
      <c r="D118" s="357"/>
      <c r="K118" s="1166"/>
      <c r="L118" s="1642"/>
      <c r="M118" s="1642"/>
      <c r="N118" s="1166"/>
      <c r="O118" s="1166"/>
      <c r="P118" s="1166"/>
      <c r="Q118" s="1166"/>
      <c r="R118" s="1642"/>
      <c r="S118" s="1166"/>
      <c r="T118" s="1166"/>
      <c r="U118" s="550"/>
      <c r="V118" s="1166"/>
      <c r="W118" s="1166"/>
      <c r="X118" s="1166"/>
      <c r="Y118" s="1166"/>
      <c r="Z118" s="1166"/>
      <c r="AA118" s="1638"/>
      <c r="AB118" s="572"/>
      <c r="AC118" s="572"/>
      <c r="AD118" s="572"/>
      <c r="AE118" s="572"/>
      <c r="AF118" s="1647">
        <v>11</v>
      </c>
    </row>
    <row s="1647" customFormat="1" customHeight="1" ht="11.549999999999999">
      <c r="A119" s="993"/>
      <c r="B119" s="1642"/>
      <c r="C119" s="1642"/>
      <c r="D119" s="357"/>
      <c r="K119" s="1166"/>
      <c r="L119" s="1642"/>
      <c r="M119" s="1642"/>
      <c r="N119" s="1166"/>
      <c r="O119" s="1166"/>
      <c r="P119" s="1166"/>
      <c r="Q119" s="1166"/>
      <c r="R119" s="1642"/>
      <c r="S119" s="1166"/>
      <c r="T119" s="1166"/>
      <c r="U119" s="550"/>
      <c r="V119" s="1166"/>
      <c r="W119" s="1166"/>
      <c r="X119" s="1166"/>
      <c r="Y119" s="1166"/>
      <c r="Z119" s="1166"/>
      <c r="AA119" s="1638"/>
      <c r="AB119" s="572"/>
      <c r="AC119" s="572"/>
      <c r="AD119" s="572"/>
      <c r="AE119" s="572"/>
      <c r="AF119" s="1647">
        <v>11</v>
      </c>
    </row>
    <row s="1647" customFormat="1" customHeight="1" ht="11.549999999999999">
      <c r="A120" s="993"/>
      <c r="B120" s="1642"/>
      <c r="C120" s="1642"/>
      <c r="D120" s="357"/>
      <c r="K120" s="1166"/>
      <c r="L120" s="1642"/>
      <c r="M120" s="1642"/>
      <c r="N120" s="1166"/>
      <c r="O120" s="1166"/>
      <c r="P120" s="1166"/>
      <c r="Q120" s="1166"/>
      <c r="R120" s="1642"/>
      <c r="S120" s="1166"/>
      <c r="T120" s="1166"/>
      <c r="U120" s="550"/>
      <c r="V120" s="1166"/>
      <c r="W120" s="1166"/>
      <c r="X120" s="1166"/>
      <c r="Y120" s="1166"/>
      <c r="Z120" s="1166"/>
      <c r="AA120" s="1638"/>
      <c r="AB120" s="572"/>
      <c r="AC120" s="572"/>
      <c r="AD120" s="572"/>
      <c r="AE120" s="572"/>
      <c r="AF120" s="1647">
        <v>11</v>
      </c>
    </row>
    <row s="1647" customFormat="1" customHeight="1" ht="11.549999999999999">
      <c r="A121" s="993"/>
      <c r="B121" s="1642"/>
      <c r="C121" s="1642"/>
      <c r="D121" s="357"/>
      <c r="K121" s="1166"/>
      <c r="L121" s="1642"/>
      <c r="M121" s="1642"/>
      <c r="N121" s="1166"/>
      <c r="O121" s="1166"/>
      <c r="P121" s="1166"/>
      <c r="Q121" s="1166"/>
      <c r="R121" s="1642"/>
      <c r="S121" s="1166"/>
      <c r="T121" s="1166"/>
      <c r="U121" s="550"/>
      <c r="V121" s="1166"/>
      <c r="W121" s="1166"/>
      <c r="X121" s="1166"/>
      <c r="Y121" s="1166"/>
      <c r="Z121" s="1166"/>
      <c r="AA121" s="1638"/>
      <c r="AB121" s="572"/>
      <c r="AC121" s="572"/>
      <c r="AD121" s="572"/>
      <c r="AE121" s="572"/>
      <c r="AF121" s="1647">
        <v>11</v>
      </c>
    </row>
    <row s="1647" customFormat="1" customHeight="1" ht="11.549999999999999">
      <c r="A122" s="993"/>
      <c r="B122" s="1642"/>
      <c r="C122" s="1642"/>
      <c r="D122" s="357"/>
      <c r="K122" s="1166"/>
      <c r="L122" s="1642"/>
      <c r="M122" s="1642"/>
      <c r="N122" s="1166"/>
      <c r="O122" s="1166"/>
      <c r="P122" s="1166"/>
      <c r="Q122" s="1166"/>
      <c r="R122" s="1642"/>
      <c r="S122" s="1166"/>
      <c r="T122" s="1166"/>
      <c r="U122" s="550"/>
      <c r="V122" s="1166"/>
      <c r="W122" s="1166"/>
      <c r="X122" s="1166"/>
      <c r="Y122" s="1166"/>
      <c r="Z122" s="1166"/>
      <c r="AA122" s="1638"/>
      <c r="AB122" s="572"/>
      <c r="AC122" s="572"/>
      <c r="AD122" s="572"/>
      <c r="AE122" s="572"/>
      <c r="AF122" s="1647">
        <v>11</v>
      </c>
    </row>
    <row s="1647" customFormat="1" customHeight="1" ht="11.549999999999999">
      <c r="A123" s="993"/>
      <c r="B123" s="1642"/>
      <c r="C123" s="1642"/>
      <c r="D123" s="357"/>
      <c r="K123" s="1166"/>
      <c r="L123" s="1642"/>
      <c r="M123" s="1642"/>
      <c r="N123" s="1166"/>
      <c r="O123" s="1166"/>
      <c r="P123" s="1166"/>
      <c r="Q123" s="1166"/>
      <c r="R123" s="1642"/>
      <c r="S123" s="1166"/>
      <c r="T123" s="1166"/>
      <c r="U123" s="550"/>
      <c r="V123" s="1166"/>
      <c r="W123" s="1166"/>
      <c r="X123" s="1166"/>
      <c r="Y123" s="1166"/>
      <c r="Z123" s="1166"/>
      <c r="AA123" s="1638"/>
      <c r="AB123" s="572"/>
      <c r="AC123" s="572"/>
      <c r="AD123" s="572"/>
      <c r="AE123" s="572"/>
      <c r="AF123" s="1647">
        <v>11</v>
      </c>
    </row>
    <row s="1647" customFormat="1" customHeight="1" ht="11.549999999999999">
      <c r="A124" s="993"/>
      <c r="B124" s="1642"/>
      <c r="C124" s="1642"/>
      <c r="D124" s="357"/>
      <c r="K124" s="1166"/>
      <c r="L124" s="1642"/>
      <c r="M124" s="1642"/>
      <c r="N124" s="1166"/>
      <c r="O124" s="1166"/>
      <c r="P124" s="1166"/>
      <c r="Q124" s="1166"/>
      <c r="R124" s="1642"/>
      <c r="S124" s="1166"/>
      <c r="T124" s="1166"/>
      <c r="U124" s="550"/>
      <c r="V124" s="1166"/>
      <c r="W124" s="1166"/>
      <c r="X124" s="1166"/>
      <c r="Y124" s="1166"/>
      <c r="Z124" s="1166"/>
      <c r="AA124" s="1638"/>
      <c r="AB124" s="572"/>
      <c r="AC124" s="572"/>
      <c r="AD124" s="572"/>
      <c r="AE124" s="572"/>
      <c r="AF124" s="1647">
        <v>11</v>
      </c>
    </row>
    <row s="1647" customFormat="1" customHeight="1" ht="11.549999999999999">
      <c r="A125" s="993"/>
      <c r="B125" s="1642"/>
      <c r="C125" s="1642"/>
      <c r="D125" s="357"/>
      <c r="K125" s="1166"/>
      <c r="L125" s="1642"/>
      <c r="M125" s="1642"/>
      <c r="N125" s="1166"/>
      <c r="O125" s="1166"/>
      <c r="P125" s="1166"/>
      <c r="Q125" s="1166"/>
      <c r="R125" s="1642"/>
      <c r="S125" s="1166"/>
      <c r="T125" s="1166"/>
      <c r="U125" s="550"/>
      <c r="V125" s="1166"/>
      <c r="W125" s="1166"/>
      <c r="X125" s="1166"/>
      <c r="Y125" s="1166"/>
      <c r="Z125" s="1166"/>
      <c r="AA125" s="1638"/>
      <c r="AB125" s="572"/>
      <c r="AC125" s="572"/>
      <c r="AD125" s="572"/>
      <c r="AE125" s="572"/>
      <c r="AF125" s="1647">
        <v>11</v>
      </c>
    </row>
    <row s="1647" customFormat="1" customHeight="1" ht="11.549999999999999">
      <c r="A126" s="993"/>
      <c r="B126" s="1642"/>
      <c r="C126" s="1642"/>
      <c r="D126" s="357"/>
      <c r="K126" s="1166"/>
      <c r="L126" s="1642"/>
      <c r="M126" s="1642"/>
      <c r="N126" s="1166"/>
      <c r="O126" s="1166"/>
      <c r="P126" s="1166"/>
      <c r="Q126" s="1166"/>
      <c r="R126" s="1642"/>
      <c r="S126" s="1166"/>
      <c r="T126" s="1166"/>
      <c r="U126" s="550"/>
      <c r="V126" s="1166"/>
      <c r="W126" s="1166"/>
      <c r="X126" s="1166"/>
      <c r="Y126" s="1166"/>
      <c r="Z126" s="1166"/>
      <c r="AA126" s="1638"/>
      <c r="AB126" s="572"/>
      <c r="AC126" s="572"/>
      <c r="AD126" s="572"/>
      <c r="AE126" s="572"/>
      <c r="AF126" s="1647">
        <v>11</v>
      </c>
    </row>
    <row s="1647" customFormat="1" customHeight="1" ht="11.549999999999999">
      <c r="A127" s="993"/>
      <c r="B127" s="1642"/>
      <c r="C127" s="1642"/>
      <c r="D127" s="357"/>
      <c r="K127" s="1166"/>
      <c r="L127" s="1642"/>
      <c r="M127" s="1642"/>
      <c r="N127" s="1166"/>
      <c r="O127" s="1166"/>
      <c r="P127" s="1166"/>
      <c r="Q127" s="1166"/>
      <c r="R127" s="1642"/>
      <c r="S127" s="1166"/>
      <c r="T127" s="1166"/>
      <c r="U127" s="550"/>
      <c r="V127" s="1166"/>
      <c r="W127" s="1166"/>
      <c r="X127" s="1166"/>
      <c r="Y127" s="1166"/>
      <c r="Z127" s="1166"/>
      <c r="AA127" s="1638"/>
      <c r="AB127" s="572"/>
      <c r="AC127" s="572"/>
      <c r="AD127" s="572"/>
      <c r="AE127" s="572"/>
      <c r="AF127" s="1647">
        <v>11</v>
      </c>
    </row>
    <row s="1647" customFormat="1" customHeight="1" ht="11.549999999999999">
      <c r="A128" s="993"/>
      <c r="B128" s="1642"/>
      <c r="C128" s="1642"/>
      <c r="D128" s="357"/>
      <c r="K128" s="1166"/>
      <c r="L128" s="1642"/>
      <c r="M128" s="1642"/>
      <c r="N128" s="1166"/>
      <c r="O128" s="1166"/>
      <c r="P128" s="1166"/>
      <c r="Q128" s="1166"/>
      <c r="R128" s="1642"/>
      <c r="S128" s="1166"/>
      <c r="T128" s="1166"/>
      <c r="U128" s="550"/>
      <c r="V128" s="1166"/>
      <c r="W128" s="1166"/>
      <c r="X128" s="1166"/>
      <c r="Y128" s="1166"/>
      <c r="Z128" s="1166"/>
      <c r="AA128" s="1638"/>
      <c r="AB128" s="572"/>
      <c r="AC128" s="572"/>
      <c r="AD128" s="572"/>
      <c r="AE128" s="572"/>
      <c r="AF128" s="1647">
        <v>11</v>
      </c>
    </row>
    <row s="1647" customFormat="1" customHeight="1" ht="11.549999999999999">
      <c r="A129" s="993"/>
      <c r="B129" s="1642"/>
      <c r="C129" s="1642"/>
      <c r="D129" s="357"/>
      <c r="K129" s="1166"/>
      <c r="L129" s="1642"/>
      <c r="M129" s="1642"/>
      <c r="N129" s="1166"/>
      <c r="O129" s="1166"/>
      <c r="P129" s="1166"/>
      <c r="Q129" s="1166"/>
      <c r="R129" s="1642"/>
      <c r="S129" s="1166"/>
      <c r="T129" s="1166"/>
      <c r="U129" s="550"/>
      <c r="V129" s="1166"/>
      <c r="W129" s="1166"/>
      <c r="X129" s="1166"/>
      <c r="Y129" s="1166"/>
      <c r="Z129" s="1166"/>
      <c r="AA129" s="1638"/>
      <c r="AB129" s="572"/>
      <c r="AC129" s="572"/>
      <c r="AD129" s="572"/>
      <c r="AE129" s="572"/>
      <c r="AF129" s="1647">
        <v>11</v>
      </c>
    </row>
    <row s="1647" customFormat="1" customHeight="1" ht="11.549999999999999">
      <c r="A130" s="993"/>
      <c r="B130" s="1642"/>
      <c r="C130" s="1642"/>
      <c r="D130" s="357"/>
      <c r="K130" s="1166"/>
      <c r="L130" s="1642"/>
      <c r="M130" s="1642"/>
      <c r="N130" s="1166"/>
      <c r="O130" s="1166"/>
      <c r="P130" s="1166"/>
      <c r="Q130" s="1166"/>
      <c r="R130" s="1642"/>
      <c r="S130" s="1166"/>
      <c r="T130" s="1166"/>
      <c r="U130" s="550"/>
      <c r="V130" s="1166"/>
      <c r="W130" s="1166"/>
      <c r="X130" s="1166"/>
      <c r="Y130" s="1166"/>
      <c r="Z130" s="1166"/>
      <c r="AA130" s="1638"/>
      <c r="AB130" s="572"/>
      <c r="AC130" s="572"/>
      <c r="AD130" s="572"/>
      <c r="AE130" s="572"/>
      <c r="AF130" s="1647">
        <v>11</v>
      </c>
    </row>
    <row s="1647" customFormat="1" customHeight="1" ht="11.549999999999999">
      <c r="A131" s="993"/>
      <c r="B131" s="1642"/>
      <c r="C131" s="1642"/>
      <c r="D131" s="357"/>
      <c r="K131" s="1166"/>
      <c r="L131" s="1642"/>
      <c r="M131" s="1642"/>
      <c r="N131" s="1166"/>
      <c r="O131" s="1166"/>
      <c r="P131" s="1166"/>
      <c r="Q131" s="1166"/>
      <c r="R131" s="1642"/>
      <c r="S131" s="1166"/>
      <c r="T131" s="1166"/>
      <c r="U131" s="550"/>
      <c r="V131" s="1166"/>
      <c r="W131" s="1166"/>
      <c r="X131" s="1166"/>
      <c r="Y131" s="1166"/>
      <c r="Z131" s="1166"/>
      <c r="AA131" s="1638"/>
      <c r="AB131" s="572"/>
      <c r="AC131" s="572"/>
      <c r="AD131" s="572"/>
      <c r="AE131" s="572"/>
      <c r="AF131" s="1647">
        <v>11</v>
      </c>
    </row>
    <row s="1647" customFormat="1" customHeight="1" ht="11.549999999999999">
      <c r="A132" s="993"/>
      <c r="B132" s="1642"/>
      <c r="C132" s="1642"/>
      <c r="D132" s="357"/>
      <c r="K132" s="1166"/>
      <c r="L132" s="1642"/>
      <c r="M132" s="1642"/>
      <c r="N132" s="1166"/>
      <c r="O132" s="1166"/>
      <c r="P132" s="1166"/>
      <c r="Q132" s="1166"/>
      <c r="R132" s="1642"/>
      <c r="S132" s="1166"/>
      <c r="T132" s="1166"/>
      <c r="U132" s="550"/>
      <c r="V132" s="1166"/>
      <c r="W132" s="1166"/>
      <c r="X132" s="1166"/>
      <c r="Y132" s="1166"/>
      <c r="Z132" s="1166"/>
      <c r="AA132" s="1638"/>
      <c r="AB132" s="572"/>
      <c r="AC132" s="572"/>
      <c r="AD132" s="572"/>
      <c r="AE132" s="572"/>
      <c r="AF132" s="1647">
        <v>11</v>
      </c>
    </row>
    <row s="1647" customFormat="1" customHeight="1" ht="11.549999999999999">
      <c r="A133" s="993"/>
      <c r="B133" s="1642"/>
      <c r="C133" s="1642"/>
      <c r="D133" s="357"/>
      <c r="K133" s="1166"/>
      <c r="L133" s="1642"/>
      <c r="M133" s="1642"/>
      <c r="N133" s="1166"/>
      <c r="O133" s="1166"/>
      <c r="P133" s="1166"/>
      <c r="Q133" s="1166"/>
      <c r="R133" s="1642"/>
      <c r="S133" s="1166"/>
      <c r="T133" s="1166"/>
      <c r="U133" s="550"/>
      <c r="V133" s="1166"/>
      <c r="W133" s="1166"/>
      <c r="X133" s="1166"/>
      <c r="Y133" s="1166"/>
      <c r="Z133" s="1166"/>
      <c r="AA133" s="1638"/>
      <c r="AB133" s="572"/>
      <c r="AC133" s="572"/>
      <c r="AD133" s="572"/>
      <c r="AE133" s="572"/>
      <c r="AF133" s="1647">
        <v>11</v>
      </c>
    </row>
    <row s="1647" customFormat="1" customHeight="1" ht="11.549999999999999">
      <c r="A134" s="993"/>
      <c r="B134" s="1642"/>
      <c r="C134" s="1642"/>
      <c r="D134" s="357"/>
      <c r="K134" s="1166"/>
      <c r="L134" s="1642"/>
      <c r="M134" s="1642"/>
      <c r="N134" s="1166"/>
      <c r="O134" s="1166"/>
      <c r="P134" s="1166"/>
      <c r="Q134" s="1166"/>
      <c r="R134" s="1642"/>
      <c r="S134" s="1166"/>
      <c r="T134" s="1166"/>
      <c r="U134" s="550"/>
      <c r="V134" s="1166"/>
      <c r="W134" s="1166"/>
      <c r="X134" s="1166"/>
      <c r="Y134" s="1166"/>
      <c r="Z134" s="1166"/>
      <c r="AA134" s="1638"/>
      <c r="AB134" s="572"/>
      <c r="AC134" s="572"/>
      <c r="AD134" s="572"/>
      <c r="AE134" s="572"/>
      <c r="AF134" s="1647">
        <v>11</v>
      </c>
    </row>
    <row s="1647" customFormat="1" customHeight="1" ht="11.549999999999999">
      <c r="A135" s="993"/>
      <c r="B135" s="1642"/>
      <c r="C135" s="1642"/>
      <c r="D135" s="357"/>
      <c r="K135" s="1166"/>
      <c r="L135" s="1642"/>
      <c r="M135" s="1642"/>
      <c r="N135" s="1166"/>
      <c r="O135" s="1166"/>
      <c r="P135" s="1166"/>
      <c r="Q135" s="1166"/>
      <c r="R135" s="1642"/>
      <c r="S135" s="1166"/>
      <c r="T135" s="1166"/>
      <c r="U135" s="550"/>
      <c r="V135" s="1166"/>
      <c r="W135" s="1166"/>
      <c r="X135" s="1166"/>
      <c r="Y135" s="1166"/>
      <c r="Z135" s="1166"/>
      <c r="AA135" s="1638"/>
      <c r="AB135" s="572"/>
      <c r="AC135" s="572"/>
      <c r="AD135" s="572"/>
      <c r="AE135" s="572"/>
      <c r="AF135" s="1647">
        <v>11</v>
      </c>
    </row>
    <row s="1647" customFormat="1" customHeight="1" ht="11.549999999999999">
      <c r="A136" s="993"/>
      <c r="B136" s="1642"/>
      <c r="C136" s="1642"/>
      <c r="D136" s="357"/>
      <c r="K136" s="1166"/>
      <c r="L136" s="1642"/>
      <c r="M136" s="1642"/>
      <c r="N136" s="1166"/>
      <c r="O136" s="1166"/>
      <c r="P136" s="1166"/>
      <c r="Q136" s="1166"/>
      <c r="R136" s="1642"/>
      <c r="S136" s="1166"/>
      <c r="T136" s="1166"/>
      <c r="U136" s="550"/>
      <c r="V136" s="1166"/>
      <c r="W136" s="1166"/>
      <c r="X136" s="1166"/>
      <c r="Y136" s="1166"/>
      <c r="Z136" s="1166"/>
      <c r="AA136" s="1638"/>
      <c r="AB136" s="572"/>
      <c r="AC136" s="572"/>
      <c r="AD136" s="572"/>
      <c r="AE136" s="572"/>
      <c r="AF136" s="1647">
        <v>11</v>
      </c>
    </row>
    <row s="1647" customFormat="1" customHeight="1" ht="11.549999999999999">
      <c r="A137" s="993"/>
      <c r="B137" s="1642"/>
      <c r="C137" s="1642"/>
      <c r="D137" s="357"/>
      <c r="K137" s="1166"/>
      <c r="L137" s="1642"/>
      <c r="M137" s="1642"/>
      <c r="N137" s="1166"/>
      <c r="O137" s="1166"/>
      <c r="P137" s="1166"/>
      <c r="Q137" s="1166"/>
      <c r="R137" s="1642"/>
      <c r="S137" s="1166"/>
      <c r="T137" s="1166"/>
      <c r="U137" s="550"/>
      <c r="V137" s="1166"/>
      <c r="W137" s="1166"/>
      <c r="X137" s="1166"/>
      <c r="Y137" s="1166"/>
      <c r="Z137" s="1166"/>
      <c r="AA137" s="1638"/>
      <c r="AB137" s="572"/>
      <c r="AC137" s="572"/>
      <c r="AD137" s="572"/>
      <c r="AE137" s="572"/>
      <c r="AF137" s="1647">
        <v>11</v>
      </c>
    </row>
    <row s="1647" customFormat="1" customHeight="1" ht="11.549999999999999">
      <c r="A138" s="993"/>
      <c r="B138" s="1642"/>
      <c r="C138" s="1642"/>
      <c r="D138" s="357"/>
      <c r="K138" s="1166"/>
      <c r="L138" s="1642"/>
      <c r="M138" s="1642"/>
      <c r="N138" s="1166"/>
      <c r="O138" s="1166"/>
      <c r="P138" s="1166"/>
      <c r="Q138" s="1166"/>
      <c r="R138" s="1642"/>
      <c r="S138" s="1166"/>
      <c r="T138" s="1166"/>
      <c r="U138" s="550"/>
      <c r="V138" s="1166"/>
      <c r="W138" s="1166"/>
      <c r="X138" s="1166"/>
      <c r="Y138" s="1166"/>
      <c r="Z138" s="1166"/>
      <c r="AA138" s="1638"/>
      <c r="AB138" s="572"/>
      <c r="AC138" s="572"/>
      <c r="AD138" s="572"/>
      <c r="AE138" s="572"/>
      <c r="AF138" s="1647">
        <v>11</v>
      </c>
    </row>
    <row s="1647" customFormat="1" customHeight="1" ht="11.549999999999999">
      <c r="A139" s="993"/>
      <c r="B139" s="1642"/>
      <c r="C139" s="1642"/>
      <c r="D139" s="357"/>
      <c r="K139" s="1166"/>
      <c r="L139" s="1642"/>
      <c r="M139" s="1642"/>
      <c r="N139" s="1166"/>
      <c r="O139" s="1166"/>
      <c r="P139" s="1166"/>
      <c r="Q139" s="1166"/>
      <c r="R139" s="1642"/>
      <c r="S139" s="1166"/>
      <c r="T139" s="1166"/>
      <c r="U139" s="550"/>
      <c r="V139" s="1166"/>
      <c r="W139" s="1166"/>
      <c r="X139" s="1166"/>
      <c r="Y139" s="1166"/>
      <c r="Z139" s="1166"/>
      <c r="AA139" s="1638"/>
      <c r="AB139" s="572"/>
      <c r="AC139" s="572"/>
      <c r="AD139" s="572"/>
      <c r="AE139" s="572"/>
      <c r="AF139" s="1647">
        <v>11</v>
      </c>
    </row>
    <row s="1647" customFormat="1" customHeight="1" ht="11.549999999999999">
      <c r="A140" s="993"/>
      <c r="B140" s="1642"/>
      <c r="C140" s="1642"/>
      <c r="D140" s="357"/>
      <c r="K140" s="1166"/>
      <c r="L140" s="1642"/>
      <c r="M140" s="1642"/>
      <c r="N140" s="1166"/>
      <c r="O140" s="1166"/>
      <c r="P140" s="1166"/>
      <c r="Q140" s="1166"/>
      <c r="R140" s="1642"/>
      <c r="S140" s="1166"/>
      <c r="T140" s="1166"/>
      <c r="U140" s="550"/>
      <c r="V140" s="1166"/>
      <c r="W140" s="1166"/>
      <c r="X140" s="1166"/>
      <c r="Y140" s="1166"/>
      <c r="Z140" s="1166"/>
      <c r="AA140" s="1638"/>
      <c r="AB140" s="572"/>
      <c r="AC140" s="572"/>
      <c r="AD140" s="572"/>
      <c r="AE140" s="572"/>
      <c r="AF140" s="1647">
        <v>11</v>
      </c>
    </row>
    <row s="1647" customFormat="1" customHeight="1" ht="11.549999999999999">
      <c r="A141" s="993"/>
      <c r="B141" s="1642"/>
      <c r="C141" s="1642"/>
      <c r="D141" s="357"/>
      <c r="K141" s="1166"/>
      <c r="L141" s="1642"/>
      <c r="M141" s="1642"/>
      <c r="N141" s="1166"/>
      <c r="O141" s="1166"/>
      <c r="P141" s="1166"/>
      <c r="Q141" s="1166"/>
      <c r="R141" s="1642"/>
      <c r="S141" s="1166"/>
      <c r="T141" s="1166"/>
      <c r="U141" s="550"/>
      <c r="V141" s="1166"/>
      <c r="W141" s="1166"/>
      <c r="X141" s="1166"/>
      <c r="Y141" s="1166"/>
      <c r="Z141" s="1166"/>
      <c r="AA141" s="1638"/>
      <c r="AB141" s="572"/>
      <c r="AC141" s="572"/>
      <c r="AD141" s="572"/>
      <c r="AE141" s="572"/>
      <c r="AF141" s="1647">
        <v>11</v>
      </c>
    </row>
    <row s="1647" customFormat="1" customHeight="1" ht="11.549999999999999">
      <c r="A142" s="993"/>
      <c r="B142" s="1642"/>
      <c r="C142" s="1642"/>
      <c r="D142" s="357"/>
      <c r="K142" s="1166"/>
      <c r="L142" s="1642"/>
      <c r="M142" s="1642"/>
      <c r="N142" s="1166"/>
      <c r="O142" s="1166"/>
      <c r="P142" s="1166"/>
      <c r="Q142" s="1166"/>
      <c r="R142" s="1642"/>
      <c r="S142" s="1166"/>
      <c r="T142" s="1166"/>
      <c r="U142" s="550"/>
      <c r="V142" s="1166"/>
      <c r="W142" s="1166"/>
      <c r="X142" s="1166"/>
      <c r="Y142" s="1166"/>
      <c r="Z142" s="1166"/>
      <c r="AA142" s="1638"/>
      <c r="AB142" s="572"/>
      <c r="AC142" s="572"/>
      <c r="AD142" s="572"/>
      <c r="AE142" s="572"/>
      <c r="AF142" s="1647">
        <v>11</v>
      </c>
    </row>
    <row s="1647" customFormat="1" customHeight="1" ht="11.549999999999999">
      <c r="A143" s="993"/>
      <c r="B143" s="1642"/>
      <c r="C143" s="1642"/>
      <c r="D143" s="357"/>
      <c r="K143" s="1166"/>
      <c r="L143" s="1642"/>
      <c r="M143" s="1642"/>
      <c r="N143" s="1166"/>
      <c r="O143" s="1166"/>
      <c r="P143" s="1166"/>
      <c r="Q143" s="1166"/>
      <c r="R143" s="1642"/>
      <c r="S143" s="1166"/>
      <c r="T143" s="1166"/>
      <c r="U143" s="550"/>
      <c r="V143" s="1166"/>
      <c r="W143" s="1166"/>
      <c r="X143" s="1166"/>
      <c r="Y143" s="1166"/>
      <c r="Z143" s="1166"/>
      <c r="AA143" s="1638"/>
      <c r="AB143" s="572"/>
      <c r="AC143" s="572"/>
      <c r="AD143" s="572"/>
      <c r="AE143" s="572"/>
      <c r="AF143" s="1647">
        <v>11</v>
      </c>
    </row>
    <row s="1647" customFormat="1" customHeight="1" ht="11.549999999999999">
      <c r="A144" s="993"/>
      <c r="B144" s="1642"/>
      <c r="C144" s="1642"/>
      <c r="D144" s="357"/>
      <c r="K144" s="1166"/>
      <c r="L144" s="1642"/>
      <c r="M144" s="1642"/>
      <c r="N144" s="1166"/>
      <c r="O144" s="1166"/>
      <c r="P144" s="1166"/>
      <c r="Q144" s="1166"/>
      <c r="R144" s="1642"/>
      <c r="S144" s="1166"/>
      <c r="T144" s="1166"/>
      <c r="U144" s="550"/>
      <c r="V144" s="1166"/>
      <c r="W144" s="1166"/>
      <c r="X144" s="1166"/>
      <c r="Y144" s="1166"/>
      <c r="Z144" s="1166"/>
      <c r="AA144" s="1638"/>
      <c r="AB144" s="572"/>
      <c r="AC144" s="572"/>
      <c r="AD144" s="572"/>
      <c r="AE144" s="572"/>
      <c r="AF144" s="1647">
        <v>11</v>
      </c>
    </row>
    <row s="1647" customFormat="1" customHeight="1" ht="11.549999999999999">
      <c r="A145" s="993"/>
      <c r="B145" s="1642"/>
      <c r="C145" s="1642"/>
      <c r="D145" s="357"/>
      <c r="K145" s="1166"/>
      <c r="L145" s="1642"/>
      <c r="M145" s="1642"/>
      <c r="N145" s="1166"/>
      <c r="O145" s="1166"/>
      <c r="P145" s="1166"/>
      <c r="Q145" s="1166"/>
      <c r="R145" s="1642"/>
      <c r="S145" s="1166"/>
      <c r="T145" s="1166"/>
      <c r="U145" s="550"/>
      <c r="V145" s="1166"/>
      <c r="W145" s="1166"/>
      <c r="X145" s="1166"/>
      <c r="Y145" s="1166"/>
      <c r="Z145" s="1166"/>
      <c r="AA145" s="1638"/>
      <c r="AB145" s="572"/>
      <c r="AC145" s="572"/>
      <c r="AD145" s="572"/>
      <c r="AE145" s="572"/>
      <c r="AF145" s="1647">
        <v>11</v>
      </c>
    </row>
    <row s="1647" customFormat="1" customHeight="1" ht="11.549999999999999">
      <c r="A146" s="993"/>
      <c r="B146" s="1642"/>
      <c r="C146" s="1642"/>
      <c r="D146" s="357"/>
      <c r="K146" s="1166"/>
      <c r="L146" s="1642"/>
      <c r="M146" s="1642"/>
      <c r="N146" s="1166"/>
      <c r="O146" s="1166"/>
      <c r="P146" s="1166"/>
      <c r="Q146" s="1166"/>
      <c r="R146" s="1642"/>
      <c r="S146" s="1166"/>
      <c r="T146" s="1166"/>
      <c r="U146" s="550"/>
      <c r="V146" s="1166"/>
      <c r="W146" s="1166"/>
      <c r="X146" s="1166"/>
      <c r="Y146" s="1166"/>
      <c r="Z146" s="1166"/>
      <c r="AA146" s="1638"/>
      <c r="AB146" s="572"/>
      <c r="AC146" s="572"/>
      <c r="AD146" s="572"/>
      <c r="AE146" s="572"/>
      <c r="AF146" s="1647">
        <v>11</v>
      </c>
    </row>
    <row s="1647" customFormat="1" customHeight="1" ht="11.549999999999999">
      <c r="A147" s="993"/>
      <c r="B147" s="1642"/>
      <c r="C147" s="1642"/>
      <c r="D147" s="357"/>
      <c r="K147" s="1166"/>
      <c r="L147" s="1642"/>
      <c r="M147" s="1642"/>
      <c r="N147" s="1166"/>
      <c r="O147" s="1166"/>
      <c r="P147" s="1166"/>
      <c r="Q147" s="1166"/>
      <c r="R147" s="1642"/>
      <c r="S147" s="1166"/>
      <c r="T147" s="1166"/>
      <c r="U147" s="550"/>
      <c r="V147" s="1166"/>
      <c r="W147" s="1166"/>
      <c r="X147" s="1166"/>
      <c r="Y147" s="1166"/>
      <c r="Z147" s="1166"/>
      <c r="AA147" s="1638"/>
      <c r="AB147" s="572"/>
      <c r="AC147" s="572"/>
      <c r="AD147" s="572"/>
      <c r="AE147" s="572"/>
      <c r="AF147" s="1647">
        <v>11</v>
      </c>
    </row>
    <row s="1647" customFormat="1" customHeight="1" ht="11.549999999999999">
      <c r="A148" s="993"/>
      <c r="B148" s="1642"/>
      <c r="C148" s="1642"/>
      <c r="D148" s="357"/>
      <c r="K148" s="1166"/>
      <c r="L148" s="1642"/>
      <c r="M148" s="1642"/>
      <c r="N148" s="1166"/>
      <c r="O148" s="1166"/>
      <c r="P148" s="1166"/>
      <c r="Q148" s="1166"/>
      <c r="R148" s="1642"/>
      <c r="S148" s="1166"/>
      <c r="T148" s="1166"/>
      <c r="U148" s="550"/>
      <c r="V148" s="1166"/>
      <c r="W148" s="1166"/>
      <c r="X148" s="1166"/>
      <c r="Y148" s="1166"/>
      <c r="Z148" s="1166"/>
      <c r="AA148" s="1638"/>
      <c r="AB148" s="572"/>
      <c r="AC148" s="572"/>
      <c r="AD148" s="572"/>
      <c r="AE148" s="572"/>
      <c r="AF148" s="1647">
        <v>11</v>
      </c>
    </row>
    <row s="1647" customFormat="1" customHeight="1" ht="11.549999999999999">
      <c r="A149" s="993"/>
      <c r="B149" s="1642"/>
      <c r="C149" s="1642"/>
      <c r="D149" s="357"/>
      <c r="K149" s="1166"/>
      <c r="L149" s="1642"/>
      <c r="M149" s="1642"/>
      <c r="N149" s="1166"/>
      <c r="O149" s="1166"/>
      <c r="P149" s="1166"/>
      <c r="Q149" s="1166"/>
      <c r="R149" s="1642"/>
      <c r="S149" s="1166"/>
      <c r="T149" s="1166"/>
      <c r="U149" s="550"/>
      <c r="V149" s="1166"/>
      <c r="W149" s="1166"/>
      <c r="X149" s="1166"/>
      <c r="Y149" s="1166"/>
      <c r="Z149" s="1166"/>
      <c r="AA149" s="1638"/>
      <c r="AB149" s="572"/>
      <c r="AC149" s="572"/>
      <c r="AD149" s="572"/>
      <c r="AE149" s="572"/>
      <c r="AF149" s="1647">
        <v>11</v>
      </c>
    </row>
    <row s="1647" customFormat="1" customHeight="1" ht="11.549999999999999">
      <c r="A150" s="993"/>
      <c r="B150" s="1642"/>
      <c r="C150" s="1642"/>
      <c r="D150" s="357"/>
      <c r="K150" s="1166"/>
      <c r="L150" s="1642"/>
      <c r="M150" s="1642"/>
      <c r="N150" s="1166"/>
      <c r="O150" s="1166"/>
      <c r="P150" s="1166"/>
      <c r="Q150" s="1166"/>
      <c r="R150" s="1642"/>
      <c r="S150" s="1166"/>
      <c r="T150" s="1166"/>
      <c r="U150" s="550"/>
      <c r="V150" s="1166"/>
      <c r="W150" s="1166"/>
      <c r="X150" s="1166"/>
      <c r="Y150" s="1166"/>
      <c r="Z150" s="1166"/>
      <c r="AA150" s="1638"/>
      <c r="AB150" s="572"/>
      <c r="AC150" s="572"/>
      <c r="AD150" s="572"/>
      <c r="AE150" s="572"/>
      <c r="AF150" s="1647">
        <v>11</v>
      </c>
    </row>
    <row s="1647" customFormat="1" customHeight="1" ht="11.549999999999999">
      <c r="A151" s="993"/>
      <c r="B151" s="1642"/>
      <c r="C151" s="1642"/>
      <c r="D151" s="357"/>
      <c r="K151" s="1166"/>
      <c r="L151" s="1642"/>
      <c r="M151" s="1642"/>
      <c r="N151" s="1166"/>
      <c r="O151" s="1166"/>
      <c r="P151" s="1166"/>
      <c r="Q151" s="1166"/>
      <c r="R151" s="1642"/>
      <c r="S151" s="1166"/>
      <c r="T151" s="1166"/>
      <c r="U151" s="550"/>
      <c r="V151" s="1166"/>
      <c r="W151" s="1166"/>
      <c r="X151" s="1166"/>
      <c r="Y151" s="1166"/>
      <c r="Z151" s="1166"/>
      <c r="AA151" s="1638"/>
      <c r="AB151" s="572"/>
      <c r="AC151" s="572"/>
      <c r="AD151" s="572"/>
      <c r="AE151" s="572"/>
      <c r="AF151" s="1647">
        <v>11</v>
      </c>
    </row>
    <row s="1647" customFormat="1" customHeight="1" ht="11.549999999999999">
      <c r="A152" s="993"/>
      <c r="B152" s="1642"/>
      <c r="C152" s="1642"/>
      <c r="D152" s="357"/>
      <c r="K152" s="1166"/>
      <c r="L152" s="1642"/>
      <c r="M152" s="1642"/>
      <c r="N152" s="1166"/>
      <c r="O152" s="1166"/>
      <c r="P152" s="1166"/>
      <c r="Q152" s="1166"/>
      <c r="R152" s="1642"/>
      <c r="S152" s="1166"/>
      <c r="T152" s="1166"/>
      <c r="U152" s="550"/>
      <c r="V152" s="1166"/>
      <c r="W152" s="1166"/>
      <c r="X152" s="1166"/>
      <c r="Y152" s="1166"/>
      <c r="Z152" s="1166"/>
      <c r="AA152" s="1638"/>
      <c r="AB152" s="572"/>
      <c r="AC152" s="572"/>
      <c r="AD152" s="572"/>
      <c r="AE152" s="572"/>
      <c r="AF152" s="1647">
        <v>11</v>
      </c>
    </row>
    <row s="1647" customFormat="1" customHeight="1" ht="11.549999999999999">
      <c r="A153" s="993"/>
      <c r="B153" s="1642"/>
      <c r="C153" s="1642"/>
      <c r="D153" s="357"/>
      <c r="K153" s="1166"/>
      <c r="L153" s="1642"/>
      <c r="M153" s="1642"/>
      <c r="N153" s="1166"/>
      <c r="O153" s="1166"/>
      <c r="P153" s="1166"/>
      <c r="Q153" s="1166"/>
      <c r="R153" s="1642"/>
      <c r="S153" s="1166"/>
      <c r="T153" s="1166"/>
      <c r="U153" s="550"/>
      <c r="V153" s="1166"/>
      <c r="W153" s="1166"/>
      <c r="X153" s="1166"/>
      <c r="Y153" s="1166"/>
      <c r="Z153" s="1166"/>
      <c r="AA153" s="1638"/>
      <c r="AB153" s="572"/>
      <c r="AC153" s="572"/>
      <c r="AD153" s="572"/>
      <c r="AE153" s="572"/>
      <c r="AF153" s="1647">
        <v>11</v>
      </c>
    </row>
    <row s="1647" customFormat="1" customHeight="1" ht="11.549999999999999">
      <c r="A154" s="993"/>
      <c r="B154" s="1642"/>
      <c r="C154" s="1642"/>
      <c r="D154" s="357"/>
      <c r="K154" s="1166"/>
      <c r="L154" s="1642"/>
      <c r="M154" s="1642"/>
      <c r="N154" s="1166"/>
      <c r="O154" s="1166"/>
      <c r="P154" s="1166"/>
      <c r="Q154" s="1166"/>
      <c r="R154" s="1642"/>
      <c r="S154" s="1166"/>
      <c r="T154" s="1166"/>
      <c r="U154" s="550"/>
      <c r="V154" s="1166"/>
      <c r="W154" s="1166"/>
      <c r="X154" s="1166"/>
      <c r="Y154" s="1166"/>
      <c r="Z154" s="1166"/>
      <c r="AA154" s="1638"/>
      <c r="AB154" s="572"/>
      <c r="AC154" s="572"/>
      <c r="AD154" s="572"/>
      <c r="AE154" s="572"/>
      <c r="AF154" s="1647">
        <v>11</v>
      </c>
    </row>
    <row s="1647" customFormat="1" customHeight="1" ht="11.549999999999999">
      <c r="A155" s="993"/>
      <c r="B155" s="1642"/>
      <c r="C155" s="1642"/>
      <c r="D155" s="357"/>
      <c r="K155" s="1166"/>
      <c r="L155" s="1642"/>
      <c r="M155" s="1642"/>
      <c r="N155" s="1166"/>
      <c r="O155" s="1166"/>
      <c r="P155" s="1166"/>
      <c r="Q155" s="1166"/>
      <c r="R155" s="1642"/>
      <c r="S155" s="1166"/>
      <c r="T155" s="1166"/>
      <c r="U155" s="550"/>
      <c r="V155" s="1166"/>
      <c r="W155" s="1166"/>
      <c r="X155" s="1166"/>
      <c r="Y155" s="1166"/>
      <c r="Z155" s="1166"/>
      <c r="AA155" s="1638"/>
      <c r="AB155" s="572"/>
      <c r="AC155" s="572"/>
      <c r="AD155" s="572"/>
      <c r="AE155" s="572"/>
      <c r="AF155" s="1647">
        <v>11</v>
      </c>
    </row>
    <row s="1647" customFormat="1" customHeight="1" ht="11.549999999999999">
      <c r="A156" s="993"/>
      <c r="B156" s="1642"/>
      <c r="C156" s="1642"/>
      <c r="D156" s="357"/>
      <c r="K156" s="1166"/>
      <c r="L156" s="1642"/>
      <c r="M156" s="1642"/>
      <c r="N156" s="1166"/>
      <c r="O156" s="1166"/>
      <c r="P156" s="1166"/>
      <c r="Q156" s="1166"/>
      <c r="R156" s="1642"/>
      <c r="S156" s="1166"/>
      <c r="T156" s="1166"/>
      <c r="U156" s="550"/>
      <c r="V156" s="1166"/>
      <c r="W156" s="1166"/>
      <c r="X156" s="1166"/>
      <c r="Y156" s="1166"/>
      <c r="Z156" s="1166"/>
      <c r="AA156" s="1638"/>
      <c r="AB156" s="572"/>
      <c r="AC156" s="572"/>
      <c r="AD156" s="572"/>
      <c r="AE156" s="572"/>
      <c r="AF156" s="1647">
        <v>11</v>
      </c>
    </row>
    <row s="1647" customFormat="1" customHeight="1" ht="11.549999999999999">
      <c r="A157" s="993"/>
      <c r="B157" s="1642"/>
      <c r="C157" s="1642"/>
      <c r="D157" s="357"/>
      <c r="K157" s="1166"/>
      <c r="L157" s="1642"/>
      <c r="M157" s="1642"/>
      <c r="N157" s="1166"/>
      <c r="O157" s="1166"/>
      <c r="P157" s="1166"/>
      <c r="Q157" s="1166"/>
      <c r="R157" s="1642"/>
      <c r="S157" s="1166"/>
      <c r="T157" s="1166"/>
      <c r="U157" s="550"/>
      <c r="V157" s="1166"/>
      <c r="W157" s="1166"/>
      <c r="X157" s="1166"/>
      <c r="Y157" s="1166"/>
      <c r="Z157" s="1166"/>
      <c r="AA157" s="1638"/>
      <c r="AB157" s="572"/>
      <c r="AC157" s="572"/>
      <c r="AD157" s="572"/>
      <c r="AE157" s="572"/>
      <c r="AF157" s="1647">
        <v>11</v>
      </c>
    </row>
    <row s="1647" customFormat="1" customHeight="1" ht="11.549999999999999">
      <c r="A158" s="993"/>
      <c r="B158" s="1642"/>
      <c r="C158" s="1642"/>
      <c r="D158" s="357"/>
      <c r="K158" s="1166"/>
      <c r="L158" s="1642"/>
      <c r="M158" s="1642"/>
      <c r="N158" s="1166"/>
      <c r="O158" s="1166"/>
      <c r="P158" s="1166"/>
      <c r="Q158" s="1166"/>
      <c r="R158" s="1642"/>
      <c r="S158" s="1166"/>
      <c r="T158" s="1166"/>
      <c r="U158" s="550"/>
      <c r="V158" s="1166"/>
      <c r="W158" s="1166"/>
      <c r="X158" s="1166"/>
      <c r="Y158" s="1166"/>
      <c r="Z158" s="1166"/>
      <c r="AA158" s="1638"/>
      <c r="AB158" s="572"/>
      <c r="AC158" s="572"/>
      <c r="AD158" s="572"/>
      <c r="AE158" s="572"/>
      <c r="AF158" s="1647">
        <v>11</v>
      </c>
    </row>
    <row s="1647" customFormat="1" customHeight="1" ht="11.549999999999999">
      <c r="A159" s="993"/>
      <c r="B159" s="1642"/>
      <c r="C159" s="1642"/>
      <c r="D159" s="357"/>
      <c r="K159" s="1166"/>
      <c r="L159" s="1642"/>
      <c r="M159" s="1642"/>
      <c r="N159" s="1166"/>
      <c r="O159" s="1166"/>
      <c r="P159" s="1166"/>
      <c r="Q159" s="1166"/>
      <c r="R159" s="1642"/>
      <c r="S159" s="1166"/>
      <c r="T159" s="1166"/>
      <c r="U159" s="550"/>
      <c r="V159" s="1166"/>
      <c r="W159" s="1166"/>
      <c r="X159" s="1166"/>
      <c r="Y159" s="1166"/>
      <c r="Z159" s="1166"/>
      <c r="AA159" s="1638"/>
      <c r="AB159" s="572"/>
      <c r="AC159" s="572"/>
      <c r="AD159" s="572"/>
      <c r="AE159" s="572"/>
      <c r="AF159" s="1647">
        <v>11</v>
      </c>
    </row>
    <row s="1647" customFormat="1" customHeight="1" ht="11.549999999999999">
      <c r="A160" s="993"/>
      <c r="B160" s="1642"/>
      <c r="C160" s="1642"/>
      <c r="D160" s="357"/>
      <c r="K160" s="1166"/>
      <c r="L160" s="1642"/>
      <c r="M160" s="1642"/>
      <c r="N160" s="1166"/>
      <c r="O160" s="1166"/>
      <c r="P160" s="1166"/>
      <c r="Q160" s="1166"/>
      <c r="R160" s="1642"/>
      <c r="S160" s="1166"/>
      <c r="T160" s="1166"/>
      <c r="U160" s="550"/>
      <c r="V160" s="1166"/>
      <c r="W160" s="1166"/>
      <c r="X160" s="1166"/>
      <c r="Y160" s="1166"/>
      <c r="Z160" s="1166"/>
      <c r="AA160" s="1638"/>
      <c r="AB160" s="572"/>
      <c r="AC160" s="572"/>
      <c r="AD160" s="572"/>
      <c r="AE160" s="572"/>
      <c r="AF160" s="1647">
        <v>11</v>
      </c>
    </row>
    <row s="1647" customFormat="1" customHeight="1" ht="11.549999999999999">
      <c r="A161" s="993"/>
      <c r="B161" s="1642"/>
      <c r="C161" s="1642"/>
      <c r="D161" s="357"/>
      <c r="K161" s="1166"/>
      <c r="L161" s="1642"/>
      <c r="M161" s="1642"/>
      <c r="N161" s="1166"/>
      <c r="O161" s="1166"/>
      <c r="P161" s="1166"/>
      <c r="Q161" s="1166"/>
      <c r="R161" s="1642"/>
      <c r="S161" s="1166"/>
      <c r="T161" s="1166"/>
      <c r="U161" s="550"/>
      <c r="V161" s="1166"/>
      <c r="W161" s="1166"/>
      <c r="X161" s="1166"/>
      <c r="Y161" s="1166"/>
      <c r="Z161" s="1166"/>
      <c r="AA161" s="1638"/>
      <c r="AB161" s="572"/>
      <c r="AC161" s="572"/>
      <c r="AD161" s="572"/>
      <c r="AE161" s="572"/>
      <c r="AF161" s="1647">
        <v>11</v>
      </c>
    </row>
    <row s="1647" customFormat="1" customHeight="1" ht="11.549999999999999">
      <c r="A162" s="993"/>
      <c r="B162" s="1642"/>
      <c r="C162" s="1642"/>
      <c r="D162" s="357"/>
      <c r="K162" s="1166"/>
      <c r="L162" s="1642"/>
      <c r="M162" s="1642"/>
      <c r="N162" s="1166"/>
      <c r="O162" s="1166"/>
      <c r="P162" s="1166"/>
      <c r="Q162" s="1166"/>
      <c r="R162" s="1642"/>
      <c r="S162" s="1166"/>
      <c r="T162" s="1166"/>
      <c r="U162" s="550"/>
      <c r="V162" s="1166"/>
      <c r="W162" s="1166"/>
      <c r="X162" s="1166"/>
      <c r="Y162" s="1166"/>
      <c r="Z162" s="1166"/>
      <c r="AA162" s="1638"/>
      <c r="AB162" s="572"/>
      <c r="AC162" s="572"/>
      <c r="AD162" s="572"/>
      <c r="AE162" s="572"/>
      <c r="AF162" s="1647">
        <v>11</v>
      </c>
    </row>
    <row s="1647" customFormat="1" customHeight="1" ht="11.549999999999999">
      <c r="A163" s="993"/>
      <c r="B163" s="1642"/>
      <c r="C163" s="1642"/>
      <c r="D163" s="357"/>
      <c r="K163" s="1166"/>
      <c r="L163" s="1642"/>
      <c r="M163" s="1642"/>
      <c r="N163" s="1166"/>
      <c r="O163" s="1166"/>
      <c r="P163" s="1166"/>
      <c r="Q163" s="1166"/>
      <c r="R163" s="1642"/>
      <c r="S163" s="1166"/>
      <c r="T163" s="1166"/>
      <c r="U163" s="550"/>
      <c r="V163" s="1166"/>
      <c r="W163" s="1166"/>
      <c r="X163" s="1166"/>
      <c r="Y163" s="1166"/>
      <c r="Z163" s="1166"/>
      <c r="AA163" s="1638"/>
      <c r="AB163" s="572"/>
      <c r="AC163" s="572"/>
      <c r="AD163" s="572"/>
      <c r="AE163" s="572"/>
      <c r="AF163" s="1647">
        <v>11</v>
      </c>
    </row>
    <row s="1647" customFormat="1" customHeight="1" ht="11.549999999999999">
      <c r="A164" s="993"/>
      <c r="B164" s="1642"/>
      <c r="C164" s="1642"/>
      <c r="D164" s="357"/>
      <c r="K164" s="1166"/>
      <c r="L164" s="1642"/>
      <c r="M164" s="1642"/>
      <c r="N164" s="1166"/>
      <c r="O164" s="1166"/>
      <c r="P164" s="1166"/>
      <c r="Q164" s="1166"/>
      <c r="R164" s="1642"/>
      <c r="S164" s="1166"/>
      <c r="T164" s="1166"/>
      <c r="U164" s="550"/>
      <c r="V164" s="1166"/>
      <c r="W164" s="1166"/>
      <c r="X164" s="1166"/>
      <c r="Y164" s="1166"/>
      <c r="Z164" s="1166"/>
      <c r="AA164" s="1638"/>
      <c r="AB164" s="572"/>
      <c r="AC164" s="572"/>
      <c r="AD164" s="572"/>
      <c r="AE164" s="572"/>
      <c r="AF164" s="1647">
        <v>11</v>
      </c>
    </row>
    <row s="1647" customFormat="1" customHeight="1" ht="11.549999999999999">
      <c r="A165" s="993"/>
      <c r="B165" s="1642"/>
      <c r="C165" s="1642"/>
      <c r="D165" s="357"/>
      <c r="K165" s="1166"/>
      <c r="L165" s="1642"/>
      <c r="M165" s="1642"/>
      <c r="N165" s="1166"/>
      <c r="O165" s="1166"/>
      <c r="P165" s="1166"/>
      <c r="Q165" s="1166"/>
      <c r="R165" s="1642"/>
      <c r="S165" s="1166"/>
      <c r="T165" s="1166"/>
      <c r="U165" s="550"/>
      <c r="V165" s="1166"/>
      <c r="W165" s="1166"/>
      <c r="X165" s="1166"/>
      <c r="Y165" s="1166"/>
      <c r="Z165" s="1166"/>
      <c r="AA165" s="1638"/>
      <c r="AB165" s="572"/>
      <c r="AC165" s="572"/>
      <c r="AD165" s="572"/>
      <c r="AE165" s="572"/>
      <c r="AF165" s="1647">
        <v>11</v>
      </c>
    </row>
    <row s="1647" customFormat="1" customHeight="1" ht="11.549999999999999">
      <c r="A166" s="993"/>
      <c r="B166" s="1642"/>
      <c r="C166" s="1642"/>
      <c r="D166" s="357"/>
      <c r="K166" s="1166"/>
      <c r="L166" s="1642"/>
      <c r="M166" s="1642"/>
      <c r="N166" s="1166"/>
      <c r="O166" s="1166"/>
      <c r="P166" s="1166"/>
      <c r="Q166" s="1166"/>
      <c r="R166" s="1642"/>
      <c r="S166" s="1166"/>
      <c r="T166" s="1166"/>
      <c r="U166" s="550"/>
      <c r="V166" s="1166"/>
      <c r="W166" s="1166"/>
      <c r="X166" s="1166"/>
      <c r="Y166" s="1166"/>
      <c r="Z166" s="1166"/>
      <c r="AA166" s="1638"/>
      <c r="AB166" s="572"/>
      <c r="AC166" s="572"/>
      <c r="AD166" s="572"/>
      <c r="AE166" s="572"/>
      <c r="AF166" s="1647">
        <v>11</v>
      </c>
    </row>
    <row s="1647" customFormat="1" customHeight="1" ht="11.549999999999999">
      <c r="A167" s="993"/>
      <c r="B167" s="1642"/>
      <c r="C167" s="1642"/>
      <c r="D167" s="357"/>
      <c r="K167" s="1166"/>
      <c r="L167" s="1642"/>
      <c r="M167" s="1642"/>
      <c r="N167" s="1166"/>
      <c r="O167" s="1166"/>
      <c r="P167" s="1166"/>
      <c r="Q167" s="1166"/>
      <c r="R167" s="1642"/>
      <c r="S167" s="1166"/>
      <c r="T167" s="1166"/>
      <c r="U167" s="550"/>
      <c r="V167" s="1166"/>
      <c r="W167" s="1166"/>
      <c r="X167" s="1166"/>
      <c r="Y167" s="1166"/>
      <c r="Z167" s="1166"/>
      <c r="AA167" s="1638"/>
      <c r="AB167" s="572"/>
      <c r="AC167" s="572"/>
      <c r="AD167" s="572"/>
      <c r="AE167" s="572"/>
      <c r="AF167" s="1647">
        <v>11</v>
      </c>
    </row>
    <row s="1647" customFormat="1" customHeight="1" ht="11.549999999999999">
      <c r="A168" s="993"/>
      <c r="B168" s="1642"/>
      <c r="C168" s="1642"/>
      <c r="D168" s="357"/>
      <c r="K168" s="1166"/>
      <c r="L168" s="1642"/>
      <c r="M168" s="1642"/>
      <c r="N168" s="1166"/>
      <c r="O168" s="1166"/>
      <c r="P168" s="1166"/>
      <c r="Q168" s="1166"/>
      <c r="R168" s="1642"/>
      <c r="S168" s="1166"/>
      <c r="T168" s="1166"/>
      <c r="U168" s="550"/>
      <c r="V168" s="1166"/>
      <c r="W168" s="1166"/>
      <c r="X168" s="1166"/>
      <c r="Y168" s="1166"/>
      <c r="Z168" s="1166"/>
      <c r="AA168" s="1638"/>
      <c r="AB168" s="572"/>
      <c r="AC168" s="572"/>
      <c r="AD168" s="572"/>
      <c r="AE168" s="572"/>
      <c r="AF168" s="1647">
        <v>11</v>
      </c>
    </row>
    <row s="1647" customFormat="1" customHeight="1" ht="11.549999999999999">
      <c r="A169" s="993"/>
      <c r="B169" s="1642"/>
      <c r="C169" s="1642"/>
      <c r="D169" s="357"/>
      <c r="K169" s="1166"/>
      <c r="L169" s="1642"/>
      <c r="M169" s="1642"/>
      <c r="N169" s="1166"/>
      <c r="O169" s="1166"/>
      <c r="P169" s="1166"/>
      <c r="Q169" s="1166"/>
      <c r="R169" s="1642"/>
      <c r="S169" s="1166"/>
      <c r="T169" s="1166"/>
      <c r="U169" s="550"/>
      <c r="V169" s="1166"/>
      <c r="W169" s="1166"/>
      <c r="X169" s="1166"/>
      <c r="Y169" s="1166"/>
      <c r="Z169" s="1166"/>
      <c r="AA169" s="1638"/>
      <c r="AB169" s="572"/>
      <c r="AC169" s="572"/>
      <c r="AD169" s="572"/>
      <c r="AE169" s="572"/>
      <c r="AF169" s="1647">
        <v>11</v>
      </c>
    </row>
    <row s="1647" customFormat="1" customHeight="1" ht="11.549999999999999">
      <c r="A170" s="993"/>
      <c r="B170" s="1642"/>
      <c r="C170" s="1642"/>
      <c r="D170" s="357"/>
      <c r="K170" s="1166"/>
      <c r="L170" s="1642"/>
      <c r="M170" s="1642"/>
      <c r="N170" s="1166"/>
      <c r="O170" s="1166"/>
      <c r="P170" s="1166"/>
      <c r="Q170" s="1166"/>
      <c r="R170" s="1642"/>
      <c r="S170" s="1166"/>
      <c r="T170" s="1166"/>
      <c r="U170" s="550"/>
      <c r="V170" s="1166"/>
      <c r="W170" s="1166"/>
      <c r="X170" s="1166"/>
      <c r="Y170" s="1166"/>
      <c r="Z170" s="1166"/>
      <c r="AA170" s="1638"/>
      <c r="AB170" s="572"/>
      <c r="AC170" s="572"/>
      <c r="AD170" s="572"/>
      <c r="AE170" s="572"/>
      <c r="AF170" s="1647">
        <v>11</v>
      </c>
    </row>
    <row s="1647" customFormat="1" customHeight="1" ht="11.549999999999999">
      <c r="A171" s="993"/>
      <c r="B171" s="1642"/>
      <c r="C171" s="1642"/>
      <c r="D171" s="357"/>
      <c r="K171" s="1166"/>
      <c r="L171" s="1642"/>
      <c r="M171" s="1642"/>
      <c r="N171" s="1166"/>
      <c r="O171" s="1166"/>
      <c r="P171" s="1166"/>
      <c r="Q171" s="1166"/>
      <c r="R171" s="1642"/>
      <c r="S171" s="1166"/>
      <c r="T171" s="1166"/>
      <c r="U171" s="550"/>
      <c r="V171" s="1166"/>
      <c r="W171" s="1166"/>
      <c r="X171" s="1166"/>
      <c r="Y171" s="1166"/>
      <c r="Z171" s="1166"/>
      <c r="AA171" s="1638"/>
      <c r="AB171" s="572"/>
      <c r="AC171" s="572"/>
      <c r="AD171" s="572"/>
      <c r="AE171" s="572"/>
      <c r="AF171" s="1647">
        <v>11</v>
      </c>
    </row>
    <row s="1647" customFormat="1" customHeight="1" ht="11.549999999999999">
      <c r="A172" s="993"/>
      <c r="B172" s="1642"/>
      <c r="C172" s="1642"/>
      <c r="D172" s="357"/>
      <c r="K172" s="1166"/>
      <c r="L172" s="1642"/>
      <c r="M172" s="1642"/>
      <c r="N172" s="1166"/>
      <c r="O172" s="1166"/>
      <c r="P172" s="1166"/>
      <c r="Q172" s="1166"/>
      <c r="R172" s="1642"/>
      <c r="S172" s="1166"/>
      <c r="T172" s="1166"/>
      <c r="U172" s="550"/>
      <c r="V172" s="1166"/>
      <c r="W172" s="1166"/>
      <c r="X172" s="1166"/>
      <c r="Y172" s="1166"/>
      <c r="Z172" s="1166"/>
      <c r="AA172" s="1638"/>
      <c r="AB172" s="572"/>
      <c r="AC172" s="572"/>
      <c r="AD172" s="572"/>
      <c r="AE172" s="572"/>
      <c r="AF172" s="1647">
        <v>11</v>
      </c>
    </row>
    <row s="1647" customFormat="1" customHeight="1" ht="11.549999999999999">
      <c r="A173" s="993"/>
      <c r="B173" s="1642"/>
      <c r="C173" s="1642"/>
      <c r="D173" s="357"/>
      <c r="K173" s="1166"/>
      <c r="L173" s="1642"/>
      <c r="M173" s="1642"/>
      <c r="N173" s="1166"/>
      <c r="O173" s="1166"/>
      <c r="P173" s="1166"/>
      <c r="Q173" s="1166"/>
      <c r="R173" s="1642"/>
      <c r="S173" s="1166"/>
      <c r="T173" s="1166"/>
      <c r="U173" s="550"/>
      <c r="V173" s="1166"/>
      <c r="W173" s="1166"/>
      <c r="X173" s="1166"/>
      <c r="Y173" s="1166"/>
      <c r="Z173" s="1166"/>
      <c r="AA173" s="1638"/>
      <c r="AB173" s="572"/>
      <c r="AC173" s="572"/>
      <c r="AD173" s="572"/>
      <c r="AE173" s="572"/>
      <c r="AF173" s="1647">
        <v>11</v>
      </c>
    </row>
    <row s="1647" customFormat="1" customHeight="1" ht="11.549999999999999">
      <c r="A174" s="993"/>
      <c r="B174" s="1642"/>
      <c r="C174" s="1642"/>
      <c r="D174" s="357"/>
      <c r="K174" s="1166"/>
      <c r="L174" s="1642"/>
      <c r="M174" s="1642"/>
      <c r="N174" s="1166"/>
      <c r="O174" s="1166"/>
      <c r="P174" s="1166"/>
      <c r="Q174" s="1166"/>
      <c r="R174" s="1642"/>
      <c r="S174" s="1166"/>
      <c r="T174" s="1166"/>
      <c r="U174" s="550"/>
      <c r="V174" s="1166"/>
      <c r="W174" s="1166"/>
      <c r="X174" s="1166"/>
      <c r="Y174" s="1166"/>
      <c r="Z174" s="1166"/>
      <c r="AA174" s="1638"/>
      <c r="AB174" s="572"/>
      <c r="AC174" s="572"/>
      <c r="AD174" s="572"/>
      <c r="AE174" s="572"/>
      <c r="AF174" s="1647">
        <v>11</v>
      </c>
    </row>
    <row s="1647" customFormat="1" customHeight="1" ht="11.549999999999999">
      <c r="A175" s="993"/>
      <c r="B175" s="1642"/>
      <c r="C175" s="1642"/>
      <c r="D175" s="357"/>
      <c r="K175" s="1166"/>
      <c r="L175" s="1642"/>
      <c r="M175" s="1642"/>
      <c r="N175" s="1166"/>
      <c r="O175" s="1166"/>
      <c r="P175" s="1166"/>
      <c r="Q175" s="1166"/>
      <c r="R175" s="1642"/>
      <c r="S175" s="1166"/>
      <c r="T175" s="1166"/>
      <c r="U175" s="550"/>
      <c r="V175" s="1166"/>
      <c r="W175" s="1166"/>
      <c r="X175" s="1166"/>
      <c r="Y175" s="1166"/>
      <c r="Z175" s="1166"/>
      <c r="AA175" s="1638"/>
      <c r="AB175" s="572"/>
      <c r="AC175" s="572"/>
      <c r="AD175" s="572"/>
      <c r="AE175" s="572"/>
      <c r="AF175" s="1647">
        <v>11</v>
      </c>
    </row>
    <row s="1647" customFormat="1" customHeight="1" ht="11.549999999999999">
      <c r="A176" s="993"/>
      <c r="B176" s="1642"/>
      <c r="C176" s="1642"/>
      <c r="D176" s="357"/>
      <c r="K176" s="1166"/>
      <c r="L176" s="1642"/>
      <c r="M176" s="1642"/>
      <c r="N176" s="1166"/>
      <c r="O176" s="1166"/>
      <c r="P176" s="1166"/>
      <c r="Q176" s="1166"/>
      <c r="R176" s="1642"/>
      <c r="S176" s="1166"/>
      <c r="T176" s="1166"/>
      <c r="U176" s="550"/>
      <c r="V176" s="1166"/>
      <c r="W176" s="1166"/>
      <c r="X176" s="1166"/>
      <c r="Y176" s="1166"/>
      <c r="Z176" s="1166"/>
      <c r="AA176" s="1638"/>
      <c r="AB176" s="572"/>
      <c r="AC176" s="572"/>
      <c r="AD176" s="572"/>
      <c r="AE176" s="572"/>
      <c r="AF176" s="1647">
        <v>11</v>
      </c>
    </row>
    <row s="1647" customFormat="1" customHeight="1" ht="11.549999999999999">
      <c r="A177" s="993"/>
      <c r="B177" s="1642"/>
      <c r="C177" s="1642"/>
      <c r="D177" s="357"/>
      <c r="K177" s="1166"/>
      <c r="L177" s="1642"/>
      <c r="M177" s="1642"/>
      <c r="N177" s="1166"/>
      <c r="O177" s="1166"/>
      <c r="P177" s="1166"/>
      <c r="Q177" s="1166"/>
      <c r="R177" s="1642"/>
      <c r="S177" s="1166"/>
      <c r="T177" s="1166"/>
      <c r="U177" s="550"/>
      <c r="V177" s="1166"/>
      <c r="W177" s="1166"/>
      <c r="X177" s="1166"/>
      <c r="Y177" s="1166"/>
      <c r="Z177" s="1166"/>
      <c r="AA177" s="1638"/>
      <c r="AB177" s="572"/>
      <c r="AC177" s="572"/>
      <c r="AD177" s="572"/>
      <c r="AE177" s="572"/>
      <c r="AF177" s="1647">
        <v>11</v>
      </c>
    </row>
    <row s="1647" customFormat="1" customHeight="1" ht="11.549999999999999">
      <c r="A178" s="993"/>
      <c r="B178" s="1642"/>
      <c r="C178" s="1642"/>
      <c r="D178" s="357"/>
      <c r="K178" s="1166"/>
      <c r="L178" s="1642"/>
      <c r="M178" s="1642"/>
      <c r="N178" s="1166"/>
      <c r="O178" s="1166"/>
      <c r="P178" s="1166"/>
      <c r="Q178" s="1166"/>
      <c r="R178" s="1642"/>
      <c r="S178" s="1166"/>
      <c r="T178" s="1166"/>
      <c r="U178" s="550"/>
      <c r="V178" s="1166"/>
      <c r="W178" s="1166"/>
      <c r="X178" s="1166"/>
      <c r="Y178" s="1166"/>
      <c r="Z178" s="1166"/>
      <c r="AA178" s="1638"/>
      <c r="AB178" s="572"/>
      <c r="AC178" s="572"/>
      <c r="AD178" s="572"/>
      <c r="AE178" s="572"/>
      <c r="AF178" s="1647">
        <v>11</v>
      </c>
    </row>
    <row s="1647" customFormat="1" customHeight="1" ht="11.549999999999999">
      <c r="A179" s="993"/>
      <c r="B179" s="1642"/>
      <c r="C179" s="1642"/>
      <c r="D179" s="357"/>
      <c r="K179" s="1166"/>
      <c r="L179" s="1642"/>
      <c r="M179" s="1642"/>
      <c r="N179" s="1166"/>
      <c r="O179" s="1166"/>
      <c r="P179" s="1166"/>
      <c r="Q179" s="1166"/>
      <c r="R179" s="1642"/>
      <c r="S179" s="1166"/>
      <c r="T179" s="1166"/>
      <c r="U179" s="550"/>
      <c r="V179" s="1166"/>
      <c r="W179" s="1166"/>
      <c r="X179" s="1166"/>
      <c r="Y179" s="1166"/>
      <c r="Z179" s="1166"/>
      <c r="AA179" s="1638"/>
      <c r="AB179" s="572"/>
      <c r="AC179" s="572"/>
      <c r="AD179" s="572"/>
      <c r="AE179" s="572"/>
      <c r="AF179" s="1647">
        <v>11</v>
      </c>
    </row>
    <row s="1647" customFormat="1" customHeight="1" ht="11.549999999999999">
      <c r="A180" s="993"/>
      <c r="B180" s="1642"/>
      <c r="C180" s="1642"/>
      <c r="D180" s="357"/>
      <c r="K180" s="1166"/>
      <c r="L180" s="1642"/>
      <c r="M180" s="1642"/>
      <c r="N180" s="1166"/>
      <c r="O180" s="1166"/>
      <c r="P180" s="1166"/>
      <c r="Q180" s="1166"/>
      <c r="R180" s="1642"/>
      <c r="S180" s="1166"/>
      <c r="T180" s="1166"/>
      <c r="U180" s="550"/>
      <c r="V180" s="1166"/>
      <c r="W180" s="1166"/>
      <c r="X180" s="1166"/>
      <c r="Y180" s="1166"/>
      <c r="Z180" s="1166"/>
      <c r="AA180" s="1638"/>
      <c r="AB180" s="572"/>
      <c r="AC180" s="572"/>
      <c r="AD180" s="572"/>
      <c r="AE180" s="572"/>
      <c r="AF180" s="1647">
        <v>11</v>
      </c>
    </row>
    <row s="1647" customFormat="1" customHeight="1" ht="11.549999999999999">
      <c r="A181" s="993"/>
      <c r="B181" s="1642"/>
      <c r="C181" s="1642"/>
      <c r="D181" s="357"/>
      <c r="K181" s="1166"/>
      <c r="L181" s="1642"/>
      <c r="M181" s="1642"/>
      <c r="N181" s="1166"/>
      <c r="O181" s="1166"/>
      <c r="P181" s="1166"/>
      <c r="Q181" s="1166"/>
      <c r="R181" s="1642"/>
      <c r="S181" s="1166"/>
      <c r="T181" s="1166"/>
      <c r="U181" s="550"/>
      <c r="V181" s="1166"/>
      <c r="W181" s="1166"/>
      <c r="X181" s="1166"/>
      <c r="Y181" s="1166"/>
      <c r="Z181" s="1166"/>
      <c r="AA181" s="1638"/>
      <c r="AB181" s="572"/>
      <c r="AC181" s="572"/>
      <c r="AD181" s="572"/>
      <c r="AE181" s="572"/>
      <c r="AF181" s="1647">
        <v>11</v>
      </c>
    </row>
    <row s="1647" customFormat="1" customHeight="1" ht="11.549999999999999">
      <c r="A182" s="993"/>
      <c r="B182" s="1642"/>
      <c r="C182" s="1642"/>
      <c r="D182" s="357"/>
      <c r="K182" s="1166"/>
      <c r="L182" s="1642"/>
      <c r="M182" s="1642"/>
      <c r="N182" s="1166"/>
      <c r="O182" s="1166"/>
      <c r="P182" s="1166"/>
      <c r="Q182" s="1166"/>
      <c r="R182" s="1642"/>
      <c r="S182" s="1166"/>
      <c r="T182" s="1166"/>
      <c r="U182" s="550"/>
      <c r="V182" s="1166"/>
      <c r="W182" s="1166"/>
      <c r="X182" s="1166"/>
      <c r="Y182" s="1166"/>
      <c r="Z182" s="1166"/>
      <c r="AA182" s="1638"/>
      <c r="AB182" s="572"/>
      <c r="AC182" s="572"/>
      <c r="AD182" s="572"/>
      <c r="AE182" s="572"/>
      <c r="AF182" s="1647">
        <v>11</v>
      </c>
    </row>
    <row s="1647" customFormat="1" customHeight="1" ht="11.549999999999999">
      <c r="A183" s="993"/>
      <c r="B183" s="1642"/>
      <c r="C183" s="1642"/>
      <c r="D183" s="357"/>
      <c r="K183" s="1166"/>
      <c r="L183" s="1642"/>
      <c r="M183" s="1642"/>
      <c r="N183" s="1166"/>
      <c r="O183" s="1166"/>
      <c r="P183" s="1166"/>
      <c r="Q183" s="1166"/>
      <c r="R183" s="1642"/>
      <c r="S183" s="1166"/>
      <c r="T183" s="1166"/>
      <c r="U183" s="550"/>
      <c r="V183" s="1166"/>
      <c r="W183" s="1166"/>
      <c r="X183" s="1166"/>
      <c r="Y183" s="1166"/>
      <c r="Z183" s="1166"/>
      <c r="AA183" s="1638"/>
      <c r="AB183" s="572"/>
      <c r="AC183" s="572"/>
      <c r="AD183" s="572"/>
      <c r="AE183" s="572"/>
      <c r="AF183" s="1647">
        <v>11</v>
      </c>
    </row>
    <row s="1647" customFormat="1" customHeight="1" ht="11.549999999999999">
      <c r="A184" s="993"/>
      <c r="B184" s="1642"/>
      <c r="C184" s="1642"/>
      <c r="D184" s="357"/>
      <c r="K184" s="1166"/>
      <c r="L184" s="1642"/>
      <c r="M184" s="1642"/>
      <c r="N184" s="1166"/>
      <c r="O184" s="1166"/>
      <c r="P184" s="1166"/>
      <c r="Q184" s="1166"/>
      <c r="R184" s="1642"/>
      <c r="S184" s="1166"/>
      <c r="T184" s="1166"/>
      <c r="U184" s="550"/>
      <c r="V184" s="1166"/>
      <c r="W184" s="1166"/>
      <c r="X184" s="1166"/>
      <c r="Y184" s="1166"/>
      <c r="Z184" s="1166"/>
      <c r="AA184" s="1638"/>
      <c r="AB184" s="572"/>
      <c r="AC184" s="572"/>
      <c r="AD184" s="572"/>
      <c r="AE184" s="572"/>
      <c r="AF184" s="1647">
        <v>11</v>
      </c>
    </row>
    <row s="1647" customFormat="1" customHeight="1" ht="11.549999999999999">
      <c r="A185" s="993"/>
      <c r="B185" s="1642"/>
      <c r="C185" s="1642"/>
      <c r="D185" s="357"/>
      <c r="K185" s="1166"/>
      <c r="L185" s="1642"/>
      <c r="M185" s="1642"/>
      <c r="N185" s="1166"/>
      <c r="O185" s="1166"/>
      <c r="P185" s="1166"/>
      <c r="Q185" s="1166"/>
      <c r="R185" s="1642"/>
      <c r="S185" s="1166"/>
      <c r="T185" s="1166"/>
      <c r="U185" s="550"/>
      <c r="V185" s="1166"/>
      <c r="W185" s="1166"/>
      <c r="X185" s="1166"/>
      <c r="Y185" s="1166"/>
      <c r="Z185" s="1166"/>
      <c r="AA185" s="1638"/>
      <c r="AB185" s="572"/>
      <c r="AC185" s="572"/>
      <c r="AD185" s="572"/>
      <c r="AE185" s="572"/>
      <c r="AF185" s="1647">
        <v>11</v>
      </c>
    </row>
    <row s="1647" customFormat="1" customHeight="1" ht="11.549999999999999">
      <c r="A186" s="993"/>
      <c r="B186" s="1642"/>
      <c r="C186" s="1642"/>
      <c r="D186" s="357"/>
      <c r="K186" s="1166"/>
      <c r="L186" s="1642"/>
      <c r="M186" s="1642"/>
      <c r="N186" s="1166"/>
      <c r="O186" s="1166"/>
      <c r="P186" s="1166"/>
      <c r="Q186" s="1166"/>
      <c r="R186" s="1642"/>
      <c r="S186" s="1166"/>
      <c r="T186" s="1166"/>
      <c r="U186" s="550"/>
      <c r="V186" s="1166"/>
      <c r="W186" s="1166"/>
      <c r="X186" s="1166"/>
      <c r="Y186" s="1166"/>
      <c r="Z186" s="1166"/>
      <c r="AA186" s="1638"/>
      <c r="AB186" s="572"/>
      <c r="AC186" s="572"/>
      <c r="AD186" s="572"/>
      <c r="AE186" s="572"/>
      <c r="AF186" s="1647">
        <v>11</v>
      </c>
    </row>
    <row s="1647" customFormat="1" customHeight="1" ht="11.549999999999999">
      <c r="A187" s="993"/>
      <c r="B187" s="1642"/>
      <c r="C187" s="1642"/>
      <c r="D187" s="357"/>
      <c r="K187" s="1166"/>
      <c r="L187" s="1642"/>
      <c r="M187" s="1642"/>
      <c r="N187" s="1166"/>
      <c r="O187" s="1166"/>
      <c r="P187" s="1166"/>
      <c r="Q187" s="1166"/>
      <c r="R187" s="1642"/>
      <c r="S187" s="1166"/>
      <c r="T187" s="1166"/>
      <c r="U187" s="550"/>
      <c r="V187" s="1166"/>
      <c r="W187" s="1166"/>
      <c r="X187" s="1166"/>
      <c r="Y187" s="1166"/>
      <c r="Z187" s="1166"/>
      <c r="AA187" s="1638"/>
      <c r="AB187" s="572"/>
      <c r="AC187" s="572"/>
      <c r="AD187" s="572"/>
      <c r="AE187" s="572"/>
      <c r="AF187" s="1647">
        <v>11</v>
      </c>
    </row>
    <row s="1647" customFormat="1" customHeight="1" ht="11.549999999999999">
      <c r="A188" s="993"/>
      <c r="B188" s="1642"/>
      <c r="C188" s="1642"/>
      <c r="D188" s="357"/>
      <c r="K188" s="1166"/>
      <c r="L188" s="1642"/>
      <c r="M188" s="1642"/>
      <c r="N188" s="1166"/>
      <c r="O188" s="1166"/>
      <c r="P188" s="1166"/>
      <c r="Q188" s="1166"/>
      <c r="R188" s="1642"/>
      <c r="S188" s="1166"/>
      <c r="T188" s="1166"/>
      <c r="U188" s="550"/>
      <c r="V188" s="1166"/>
      <c r="W188" s="1166"/>
      <c r="X188" s="1166"/>
      <c r="Y188" s="1166"/>
      <c r="Z188" s="1166"/>
      <c r="AA188" s="1638"/>
      <c r="AB188" s="572"/>
      <c r="AC188" s="572"/>
      <c r="AD188" s="572"/>
      <c r="AE188" s="572"/>
      <c r="AF188" s="1647">
        <v>11</v>
      </c>
    </row>
    <row s="1647" customFormat="1" customHeight="1" ht="11.549999999999999">
      <c r="A189" s="993"/>
      <c r="B189" s="1642"/>
      <c r="C189" s="1642"/>
      <c r="D189" s="357"/>
      <c r="K189" s="1166"/>
      <c r="L189" s="1642"/>
      <c r="M189" s="1642"/>
      <c r="N189" s="1166"/>
      <c r="O189" s="1166"/>
      <c r="P189" s="1166"/>
      <c r="Q189" s="1166"/>
      <c r="R189" s="1642"/>
      <c r="S189" s="1166"/>
      <c r="T189" s="1166"/>
      <c r="U189" s="550"/>
      <c r="V189" s="1166"/>
      <c r="W189" s="1166"/>
      <c r="X189" s="1166"/>
      <c r="Y189" s="1166"/>
      <c r="Z189" s="1166"/>
      <c r="AA189" s="1638"/>
      <c r="AB189" s="572"/>
      <c r="AC189" s="572"/>
      <c r="AD189" s="572"/>
      <c r="AE189" s="572"/>
      <c r="AF189" s="1647">
        <v>11</v>
      </c>
    </row>
    <row s="1647" customFormat="1" customHeight="1" ht="11.549999999999999">
      <c r="A190" s="993"/>
      <c r="B190" s="1642"/>
      <c r="C190" s="1642"/>
      <c r="D190" s="357"/>
      <c r="K190" s="1166"/>
      <c r="L190" s="1642"/>
      <c r="M190" s="1642"/>
      <c r="N190" s="1166"/>
      <c r="O190" s="1166"/>
      <c r="P190" s="1166"/>
      <c r="Q190" s="1166"/>
      <c r="R190" s="1642"/>
      <c r="S190" s="1166"/>
      <c r="T190" s="1166"/>
      <c r="U190" s="550"/>
      <c r="V190" s="1166"/>
      <c r="W190" s="1166"/>
      <c r="X190" s="1166"/>
      <c r="Y190" s="1166"/>
      <c r="Z190" s="1166"/>
      <c r="AA190" s="1638"/>
      <c r="AB190" s="572"/>
      <c r="AC190" s="572"/>
      <c r="AD190" s="572"/>
      <c r="AE190" s="572"/>
      <c r="AF190" s="1647">
        <v>11</v>
      </c>
    </row>
    <row s="1647" customFormat="1" customHeight="1" ht="11.549999999999999">
      <c r="A191" s="993"/>
      <c r="B191" s="1642"/>
      <c r="C191" s="1642"/>
      <c r="D191" s="357"/>
      <c r="K191" s="1166"/>
      <c r="L191" s="1642"/>
      <c r="M191" s="1642"/>
      <c r="N191" s="1166"/>
      <c r="O191" s="1166"/>
      <c r="P191" s="1166"/>
      <c r="Q191" s="1166"/>
      <c r="R191" s="1642"/>
      <c r="S191" s="1166"/>
      <c r="T191" s="1166"/>
      <c r="U191" s="550"/>
      <c r="V191" s="1166"/>
      <c r="W191" s="1166"/>
      <c r="X191" s="1166"/>
      <c r="Y191" s="1166"/>
      <c r="Z191" s="1166"/>
      <c r="AA191" s="1638"/>
      <c r="AB191" s="572"/>
      <c r="AC191" s="572"/>
      <c r="AD191" s="572"/>
      <c r="AE191" s="572"/>
      <c r="AF191" s="1647">
        <v>11</v>
      </c>
    </row>
    <row s="1647" customFormat="1" customHeight="1" ht="11.549999999999999">
      <c r="A192" s="993"/>
      <c r="B192" s="1642"/>
      <c r="C192" s="1642"/>
      <c r="D192" s="357"/>
      <c r="K192" s="1166"/>
      <c r="L192" s="1642"/>
      <c r="M192" s="1642"/>
      <c r="N192" s="1166"/>
      <c r="O192" s="1166"/>
      <c r="P192" s="1166"/>
      <c r="Q192" s="1166"/>
      <c r="R192" s="1642"/>
      <c r="S192" s="1166"/>
      <c r="T192" s="1166"/>
      <c r="U192" s="550"/>
      <c r="V192" s="1166"/>
      <c r="W192" s="1166"/>
      <c r="X192" s="1166"/>
      <c r="Y192" s="1166"/>
      <c r="Z192" s="1166"/>
      <c r="AA192" s="1638"/>
      <c r="AB192" s="572"/>
      <c r="AC192" s="572"/>
      <c r="AD192" s="572"/>
      <c r="AE192" s="572"/>
      <c r="AF192" s="1647">
        <v>11</v>
      </c>
    </row>
    <row s="1647" customFormat="1" customHeight="1" ht="11.549999999999999">
      <c r="A193" s="993"/>
      <c r="B193" s="1642"/>
      <c r="C193" s="1642"/>
      <c r="D193" s="357"/>
      <c r="K193" s="1166"/>
      <c r="L193" s="1642"/>
      <c r="M193" s="1642"/>
      <c r="N193" s="1166"/>
      <c r="O193" s="1166"/>
      <c r="P193" s="1166"/>
      <c r="Q193" s="1166"/>
      <c r="R193" s="1642"/>
      <c r="S193" s="1166"/>
      <c r="T193" s="1166"/>
      <c r="U193" s="550"/>
      <c r="V193" s="1166"/>
      <c r="W193" s="1166"/>
      <c r="X193" s="1166"/>
      <c r="Y193" s="1166"/>
      <c r="Z193" s="1166"/>
      <c r="AA193" s="1638"/>
      <c r="AB193" s="572"/>
      <c r="AC193" s="572"/>
      <c r="AD193" s="572"/>
      <c r="AE193" s="572"/>
      <c r="AF193" s="1647">
        <v>11</v>
      </c>
    </row>
    <row s="1647" customFormat="1" customHeight="1" ht="11.549999999999999">
      <c r="A194" s="993"/>
      <c r="B194" s="1642"/>
      <c r="C194" s="1642"/>
      <c r="D194" s="357"/>
      <c r="K194" s="1166"/>
      <c r="L194" s="1642"/>
      <c r="M194" s="1642"/>
      <c r="N194" s="1166"/>
      <c r="O194" s="1166"/>
      <c r="P194" s="1166"/>
      <c r="Q194" s="1166"/>
      <c r="R194" s="1642"/>
      <c r="S194" s="1166"/>
      <c r="T194" s="1166"/>
      <c r="U194" s="550"/>
      <c r="V194" s="1166"/>
      <c r="W194" s="1166"/>
      <c r="X194" s="1166"/>
      <c r="Y194" s="1166"/>
      <c r="Z194" s="1166"/>
      <c r="AA194" s="1638"/>
      <c r="AB194" s="572"/>
      <c r="AC194" s="572"/>
      <c r="AD194" s="572"/>
      <c r="AE194" s="572"/>
      <c r="AF194" s="1647">
        <v>11</v>
      </c>
    </row>
    <row s="1647" customFormat="1" customHeight="1" ht="11.549999999999999">
      <c r="A195" s="993"/>
      <c r="B195" s="1642"/>
      <c r="C195" s="1642"/>
      <c r="D195" s="357"/>
      <c r="K195" s="1166"/>
      <c r="L195" s="1642"/>
      <c r="M195" s="1642"/>
      <c r="N195" s="1166"/>
      <c r="O195" s="1166"/>
      <c r="P195" s="1166"/>
      <c r="Q195" s="1166"/>
      <c r="R195" s="1642"/>
      <c r="S195" s="1166"/>
      <c r="T195" s="1166"/>
      <c r="U195" s="550"/>
      <c r="V195" s="1166"/>
      <c r="W195" s="1166"/>
      <c r="X195" s="1166"/>
      <c r="Y195" s="1166"/>
      <c r="Z195" s="1166"/>
      <c r="AA195" s="1638"/>
      <c r="AB195" s="572"/>
      <c r="AC195" s="572"/>
      <c r="AD195" s="572"/>
      <c r="AE195" s="572"/>
      <c r="AF195" s="1647">
        <v>11</v>
      </c>
    </row>
    <row customHeight="1" ht="11.549999999999999">
      <c r="AF196" s="1637">
        <v>11</v>
      </c>
    </row>
    <row customHeight="1" ht="11.549999999999999">
      <c r="AF197" s="1637">
        <v>11</v>
      </c>
    </row>
    <row customHeight="1" ht="11.549999999999999">
      <c r="AF198" s="1637">
        <v>11</v>
      </c>
    </row>
    <row customHeight="1" ht="11.549999999999999">
      <c r="A199" s="996"/>
      <c r="B199" s="1637"/>
      <c r="D199" s="1637"/>
      <c r="K199" s="1637"/>
      <c r="N199" s="1637"/>
      <c r="O199" s="1637"/>
      <c r="P199" s="1637"/>
      <c r="Q199" s="1637"/>
      <c r="S199" s="1637"/>
      <c r="T199" s="1637"/>
      <c r="U199" s="1637"/>
      <c r="V199" s="1637"/>
      <c r="W199" s="1637"/>
      <c r="X199" s="1637"/>
      <c r="Y199" s="1637"/>
      <c r="Z199" s="1637"/>
      <c r="AA199" s="1637"/>
      <c r="AB199" s="1637"/>
      <c r="AC199" s="1637"/>
      <c r="AD199" s="1637"/>
      <c r="AE199" s="1637"/>
      <c r="AF199" s="1637">
        <v>11</v>
      </c>
    </row>
    <row customHeight="1" ht="11.549999999999999">
      <c r="A200" s="996"/>
      <c r="B200" s="1637"/>
      <c r="D200" s="1637"/>
      <c r="K200" s="1637"/>
      <c r="N200" s="1637"/>
      <c r="O200" s="1637"/>
      <c r="P200" s="1637"/>
      <c r="Q200" s="1637"/>
      <c r="S200" s="1637"/>
      <c r="T200" s="1637"/>
      <c r="U200" s="1637"/>
      <c r="V200" s="1637"/>
      <c r="W200" s="1637"/>
      <c r="X200" s="1637"/>
      <c r="Y200" s="1637"/>
      <c r="Z200" s="1637"/>
      <c r="AA200" s="1637"/>
      <c r="AB200" s="1637"/>
      <c r="AC200" s="1637"/>
      <c r="AD200" s="1637"/>
      <c r="AE200" s="1637"/>
      <c r="AF200" s="1637">
        <v>11</v>
      </c>
    </row>
    <row customHeight="1" ht="11.549999999999999">
      <c r="A201" s="996"/>
      <c r="B201" s="1637"/>
      <c r="D201" s="1637"/>
      <c r="K201" s="1637"/>
      <c r="N201" s="1637"/>
      <c r="O201" s="1637"/>
      <c r="P201" s="1637"/>
      <c r="Q201" s="1637"/>
      <c r="S201" s="1637"/>
      <c r="T201" s="1637"/>
      <c r="U201" s="1637"/>
      <c r="V201" s="1637"/>
      <c r="W201" s="1637"/>
      <c r="X201" s="1637"/>
      <c r="Y201" s="1637"/>
      <c r="Z201" s="1637"/>
      <c r="AA201" s="1637"/>
      <c r="AB201" s="1637"/>
      <c r="AC201" s="1637"/>
      <c r="AD201" s="1637"/>
      <c r="AE201" s="1637"/>
      <c r="AF201" s="1637">
        <v>11</v>
      </c>
    </row>
    <row customHeight="1" ht="11.549999999999999">
      <c r="A202" s="996"/>
      <c r="B202" s="1637"/>
      <c r="D202" s="1637"/>
      <c r="K202" s="1637"/>
      <c r="N202" s="1637"/>
      <c r="O202" s="1637"/>
      <c r="P202" s="1637"/>
      <c r="Q202" s="1637"/>
      <c r="S202" s="1637"/>
      <c r="T202" s="1637"/>
      <c r="U202" s="1637"/>
      <c r="V202" s="1637"/>
      <c r="W202" s="1637"/>
      <c r="X202" s="1637"/>
      <c r="Y202" s="1637"/>
      <c r="Z202" s="1637"/>
      <c r="AA202" s="1637"/>
      <c r="AB202" s="1637"/>
      <c r="AC202" s="1637"/>
      <c r="AD202" s="1637"/>
      <c r="AE202" s="1637"/>
      <c r="AF202" s="1637">
        <v>11</v>
      </c>
    </row>
    <row customHeight="1" ht="11.549999999999999">
      <c r="A203" s="996"/>
      <c r="B203" s="1637"/>
      <c r="D203" s="1637"/>
      <c r="K203" s="1637"/>
      <c r="N203" s="1637"/>
      <c r="O203" s="1637"/>
      <c r="P203" s="1637"/>
      <c r="Q203" s="1637"/>
      <c r="S203" s="1637"/>
      <c r="T203" s="1637"/>
      <c r="U203" s="1637"/>
      <c r="V203" s="1637"/>
      <c r="W203" s="1637"/>
      <c r="X203" s="1637"/>
      <c r="Y203" s="1637"/>
      <c r="Z203" s="1637"/>
      <c r="AA203" s="1637"/>
      <c r="AB203" s="1637"/>
      <c r="AC203" s="1637"/>
      <c r="AD203" s="1637"/>
      <c r="AE203" s="1637"/>
      <c r="AF203" s="1637">
        <v>11</v>
      </c>
    </row>
    <row customHeight="1" ht="11.549999999999999">
      <c r="A204" s="996"/>
      <c r="B204" s="1637"/>
      <c r="D204" s="1637"/>
      <c r="K204" s="1637"/>
      <c r="N204" s="1637"/>
      <c r="O204" s="1637"/>
      <c r="P204" s="1637"/>
      <c r="Q204" s="1637"/>
      <c r="S204" s="1637"/>
      <c r="T204" s="1637"/>
      <c r="U204" s="1637"/>
      <c r="V204" s="1637"/>
      <c r="W204" s="1637"/>
      <c r="X204" s="1637"/>
      <c r="Y204" s="1637"/>
      <c r="Z204" s="1637"/>
      <c r="AA204" s="1637"/>
      <c r="AB204" s="1637"/>
      <c r="AC204" s="1637"/>
      <c r="AD204" s="1637"/>
      <c r="AE204" s="1637"/>
      <c r="AF204" s="1637">
        <v>11</v>
      </c>
    </row>
    <row customHeight="1" ht="11.549999999999999">
      <c r="A205" s="996"/>
      <c r="B205" s="1637"/>
      <c r="D205" s="1637"/>
      <c r="K205" s="1637"/>
      <c r="N205" s="1637"/>
      <c r="O205" s="1637"/>
      <c r="P205" s="1637"/>
      <c r="Q205" s="1637"/>
      <c r="S205" s="1637"/>
      <c r="T205" s="1637"/>
      <c r="U205" s="1637"/>
      <c r="V205" s="1637"/>
      <c r="W205" s="1637"/>
      <c r="X205" s="1637"/>
      <c r="Y205" s="1637"/>
      <c r="Z205" s="1637"/>
      <c r="AA205" s="1637"/>
      <c r="AB205" s="1637"/>
      <c r="AC205" s="1637"/>
      <c r="AD205" s="1637"/>
      <c r="AE205" s="1637"/>
      <c r="AF205" s="1637">
        <v>11</v>
      </c>
    </row>
    <row customHeight="1" ht="11.549999999999999">
      <c r="A206" s="996"/>
      <c r="B206" s="1637"/>
      <c r="D206" s="1637"/>
      <c r="K206" s="1637"/>
      <c r="N206" s="1637"/>
      <c r="O206" s="1637"/>
      <c r="P206" s="1637"/>
      <c r="Q206" s="1637"/>
      <c r="S206" s="1637"/>
      <c r="T206" s="1637"/>
      <c r="U206" s="1637"/>
      <c r="V206" s="1637"/>
      <c r="W206" s="1637"/>
      <c r="X206" s="1637"/>
      <c r="Y206" s="1637"/>
      <c r="Z206" s="1637"/>
      <c r="AA206" s="1637"/>
      <c r="AB206" s="1637"/>
      <c r="AC206" s="1637"/>
      <c r="AD206" s="1637"/>
      <c r="AE206" s="1637"/>
      <c r="AF206" s="1637">
        <v>11</v>
      </c>
    </row>
    <row customHeight="1" ht="11.549999999999999">
      <c r="A207" s="996"/>
      <c r="B207" s="1637"/>
      <c r="D207" s="1637"/>
      <c r="K207" s="1637"/>
      <c r="N207" s="1637"/>
      <c r="O207" s="1637"/>
      <c r="P207" s="1637"/>
      <c r="Q207" s="1637"/>
      <c r="S207" s="1637"/>
      <c r="T207" s="1637"/>
      <c r="U207" s="1637"/>
      <c r="V207" s="1637"/>
      <c r="W207" s="1637"/>
      <c r="X207" s="1637"/>
      <c r="Y207" s="1637"/>
      <c r="Z207" s="1637"/>
      <c r="AA207" s="1637"/>
      <c r="AB207" s="1637"/>
      <c r="AC207" s="1637"/>
      <c r="AD207" s="1637"/>
      <c r="AE207" s="1637"/>
      <c r="AF207" s="1637">
        <v>11</v>
      </c>
    </row>
    <row customHeight="1" ht="11.549999999999999">
      <c r="A208" s="996"/>
      <c r="B208" s="1637"/>
      <c r="D208" s="1637"/>
      <c r="K208" s="1637"/>
      <c r="N208" s="1637"/>
      <c r="O208" s="1637"/>
      <c r="P208" s="1637"/>
      <c r="Q208" s="1637"/>
      <c r="S208" s="1637"/>
      <c r="T208" s="1637"/>
      <c r="U208" s="1637"/>
      <c r="V208" s="1637"/>
      <c r="W208" s="1637"/>
      <c r="X208" s="1637"/>
      <c r="Y208" s="1637"/>
      <c r="Z208" s="1637"/>
      <c r="AA208" s="1637"/>
      <c r="AB208" s="1637"/>
      <c r="AC208" s="1637"/>
      <c r="AD208" s="1637"/>
      <c r="AE208" s="1637"/>
      <c r="AF208" s="1637">
        <v>11</v>
      </c>
    </row>
    <row customHeight="1" ht="11.549999999999999">
      <c r="A209" s="996"/>
      <c r="B209" s="1637"/>
      <c r="D209" s="1637"/>
      <c r="K209" s="1637"/>
      <c r="N209" s="1637"/>
      <c r="O209" s="1637"/>
      <c r="P209" s="1637"/>
      <c r="Q209" s="1637"/>
      <c r="S209" s="1637"/>
      <c r="T209" s="1637"/>
      <c r="U209" s="1637"/>
      <c r="V209" s="1637"/>
      <c r="W209" s="1637"/>
      <c r="X209" s="1637"/>
      <c r="Y209" s="1637"/>
      <c r="Z209" s="1637"/>
      <c r="AA209" s="1637"/>
      <c r="AB209" s="1637"/>
      <c r="AC209" s="1637"/>
      <c r="AD209" s="1637"/>
      <c r="AE209" s="1637"/>
      <c r="AF209" s="1637">
        <v>11</v>
      </c>
    </row>
    <row customHeight="1" ht="11.25" hidden="1">
      <c r="A210" s="993" t="s">
        <v>83</v>
      </c>
      <c r="B210" s="1166">
        <v>0</v>
      </c>
      <c r="C210" s="1642">
        <v>0</v>
      </c>
      <c r="D210" s="1641">
        <v>3</v>
      </c>
      <c r="E210" s="1637">
        <v>7</v>
      </c>
      <c r="F210" s="1637">
        <v>54</v>
      </c>
      <c r="G210" s="1637">
        <v>10</v>
      </c>
      <c r="H210" s="1637">
        <v>0</v>
      </c>
      <c r="I210" s="1637">
        <v>40</v>
      </c>
      <c r="J210" s="1637">
        <v>102</v>
      </c>
      <c r="K210" s="1166">
        <v>9</v>
      </c>
      <c r="L210" s="1642">
        <v>5</v>
      </c>
      <c r="M210" s="1642">
        <v>3</v>
      </c>
      <c r="N210" s="1166">
        <v>3</v>
      </c>
      <c r="O210" s="1166">
        <v>3</v>
      </c>
      <c r="P210" s="1166">
        <v>3</v>
      </c>
      <c r="Q210" s="1166">
        <v>3</v>
      </c>
      <c r="R210" s="1642">
        <v>10</v>
      </c>
      <c r="S210" s="1166">
        <v>34</v>
      </c>
      <c r="T210" s="1166">
        <v>9</v>
      </c>
      <c r="U210" s="550">
        <v>8</v>
      </c>
      <c r="V210" s="1166">
        <v>8</v>
      </c>
      <c r="W210" s="1166">
        <v>8</v>
      </c>
      <c r="X210" s="1166">
        <v>8</v>
      </c>
      <c r="Y210" s="1166">
        <v>8</v>
      </c>
      <c r="Z210" s="1166">
        <v>8</v>
      </c>
      <c r="AA210" s="1638">
        <v>8</v>
      </c>
      <c r="AB210" s="1638">
        <v>8</v>
      </c>
      <c r="AC210" s="1638">
        <v>8</v>
      </c>
      <c r="AD210" s="1638">
        <v>8</v>
      </c>
      <c r="AE210" s="1638">
        <v>8</v>
      </c>
      <c r="AF210" s="1637">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DEFAF7-287C-3DC8-0409-3AD2FCB62793}"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172" width="9.140625" hidden="1" customWidth="1"/>
    <col min="2" max="2" style="1648" width="3.57421875" hidden="1" customWidth="1"/>
    <col min="3" max="3" style="1641" width="3.00390625" customWidth="1"/>
    <col min="4" max="4" style="1641" width="7.00390625" customWidth="1"/>
    <col min="5" max="5" style="1641" width="69.00390625" customWidth="1"/>
    <col min="6" max="6" style="1641" width="10.00390625" customWidth="1"/>
    <col min="7" max="8" style="1641" width="44.00390625" hidden="1" customWidth="1"/>
    <col min="9" max="9" style="1641" width="44.00390625" customWidth="1"/>
    <col min="10" max="10" style="1641" width="43.00390625" customWidth="1"/>
    <col min="11" max="11" style="1641" width="73.00390625" customWidth="1"/>
    <col min="12" max="12" style="1641" width="3.00390625" customWidth="1"/>
    <col min="13" max="23" style="1641" width="10.00390625" customWidth="1"/>
    <col min="24" max="24" style="1641" width="10.57421875" hidden="1"/>
  </cols>
  <sheetData>
    <row s="1372" customFormat="1" customHeight="1" ht="22.5" hidden="1">
      <c r="A1" s="542"/>
      <c r="B1" s="517"/>
      <c r="G1" s="423">
        <v>4</v>
      </c>
      <c r="I1" s="423">
        <v>4</v>
      </c>
      <c r="K1" s="423">
        <v>5</v>
      </c>
      <c r="X1" s="423" t="s">
        <v>14</v>
      </c>
    </row>
    <row customHeight="1" ht="3">
      <c r="X2" s="511">
        <v>3</v>
      </c>
    </row>
    <row customHeight="1" ht="78.75">
      <c r="D3" s="22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5"/>
      <c r="F3" s="2246"/>
      <c r="X3" s="511">
        <v>75</v>
      </c>
    </row>
    <row s="1641" customFormat="1" customHeight="1" ht="21">
      <c r="A4" s="957"/>
      <c r="B4" s="517"/>
      <c r="D4" s="2220" t="str">
        <f>IF(org=0,"Не определено",org)</f>
        <v>АО «ДГК» СП «Нерюнгринская ГРЭС»</v>
      </c>
      <c r="E4" s="2221"/>
      <c r="F4" s="2222"/>
      <c r="X4" s="764">
        <v>20</v>
      </c>
    </row>
    <row customHeight="1" ht="11.549999999999999">
      <c r="C5" s="515"/>
      <c r="D5" s="594"/>
      <c r="E5" s="594"/>
      <c r="F5" s="594"/>
      <c r="G5" s="594"/>
      <c r="H5" s="758"/>
      <c r="I5" s="594"/>
      <c r="J5" s="758"/>
      <c r="K5" s="594"/>
      <c r="X5" s="511">
        <v>11</v>
      </c>
    </row>
    <row customHeight="1" ht="1.05">
      <c r="C6" s="515"/>
      <c r="D6" s="515"/>
      <c r="E6" s="528"/>
      <c r="F6" s="620"/>
      <c r="G6" s="1028"/>
      <c r="H6" s="1028"/>
      <c r="I6" s="1028" t="s">
        <v>119</v>
      </c>
      <c r="J6" s="1028"/>
      <c r="X6" s="511">
        <v>1</v>
      </c>
    </row>
    <row customHeight="1" ht="11.549999999999999">
      <c r="D7" s="717"/>
      <c r="E7" s="2373" t="s">
        <v>107</v>
      </c>
      <c r="F7" s="2374"/>
      <c r="G7" s="2399" t="str">
        <f>IF(G6="","",INDEX(DIFFERENTIATION_UNMERGE_VD,MATCH(G6,DIFFERENTIATION_ID_DIFF,0)))</f>
        <v/>
      </c>
      <c r="H7" s="2400"/>
      <c r="I7" s="2399">
        <f>IF(I6="","",INDEX(DIFFERENTIATION_UNMERGE_VD,MATCH(I6,DIFFERENTIATION_ID_DIFF,0)))</f>
        <v>0</v>
      </c>
      <c r="J7" s="2400"/>
      <c r="K7" s="2181"/>
      <c r="L7" s="515"/>
      <c r="X7" s="511">
        <v>11</v>
      </c>
    </row>
    <row customHeight="1" ht="11.549999999999999">
      <c r="A8" s="710"/>
      <c r="D8" s="717"/>
      <c r="E8" s="2373" t="s">
        <v>601</v>
      </c>
      <c r="F8" s="2374"/>
      <c r="G8" s="2399" t="str">
        <f>IF(G6="","",INDEX(DIFFERENTIATION_UNMERGE_AREA,MATCH(G6,DIFFERENTIATION_ID_DIFF,0)))</f>
        <v/>
      </c>
      <c r="H8" s="2400"/>
      <c r="I8" s="2399" t="str">
        <f>IF(I6="","",INDEX(DIFFERENTIATION_UNMERGE_AREA,MATCH(I6,DIFFERENTIATION_ID_DIFF,0)))</f>
        <v/>
      </c>
      <c r="J8" s="2400"/>
      <c r="K8" s="2205"/>
      <c r="L8" s="515"/>
      <c r="X8" s="511">
        <v>11</v>
      </c>
    </row>
    <row customHeight="1" ht="11.549999999999999">
      <c r="A9" s="710"/>
      <c r="D9" s="717"/>
      <c r="E9" s="2373" t="s">
        <v>602</v>
      </c>
      <c r="F9" s="2374"/>
      <c r="G9" s="2399" t="str">
        <f>IF(G6="","",INDEX(DIFFERENTIATION_UNMERGE_SYSTEM,MATCH(G6,DIFFERENTIATION_ID_DIFF,0)))</f>
        <v/>
      </c>
      <c r="H9" s="2400"/>
      <c r="I9" s="2399" t="str">
        <f>IF(I6="","",INDEX(DIFFERENTIATION_UNMERGE_SYSTEM,MATCH(I6,DIFFERENTIATION_ID_DIFF,0)))</f>
        <v>без дифференциации</v>
      </c>
      <c r="J9" s="2400"/>
      <c r="K9" s="2205"/>
      <c r="L9" s="515"/>
      <c r="X9" s="511">
        <v>11</v>
      </c>
    </row>
    <row s="1641" customFormat="1" customHeight="1" ht="11.549999999999999">
      <c r="A10" s="1027"/>
      <c r="B10" s="517"/>
      <c r="D10" s="2107" t="s">
        <v>316</v>
      </c>
      <c r="E10" s="2108"/>
      <c r="F10" s="2108"/>
      <c r="G10" s="2108"/>
      <c r="H10" s="2108"/>
      <c r="I10" s="2108"/>
      <c r="J10" s="2109"/>
      <c r="K10" s="2205"/>
      <c r="L10" s="515"/>
      <c r="X10" s="764">
        <v>11</v>
      </c>
    </row>
    <row s="1641" customFormat="1" customHeight="1" ht="24">
      <c r="A11" s="2391"/>
      <c r="B11" s="2391"/>
      <c r="C11" s="663"/>
      <c r="D11" s="709" t="s">
        <v>89</v>
      </c>
      <c r="E11" s="711" t="s">
        <v>843</v>
      </c>
      <c r="F11" s="711" t="s">
        <v>603</v>
      </c>
      <c r="G11" s="471" t="s">
        <v>319</v>
      </c>
      <c r="H11" s="471" t="s">
        <v>406</v>
      </c>
      <c r="I11" s="813" t="s">
        <v>319</v>
      </c>
      <c r="J11" s="814" t="s">
        <v>406</v>
      </c>
      <c r="K11" s="2238"/>
      <c r="L11" s="664"/>
      <c r="X11" s="515">
        <v>23</v>
      </c>
    </row>
    <row s="1648" customFormat="1" customHeight="1" ht="10.5">
      <c r="A12" s="958"/>
      <c r="D12" s="1031" t="s">
        <v>111</v>
      </c>
      <c r="E12" s="1031" t="s">
        <v>112</v>
      </c>
      <c r="F12" s="1031" t="s">
        <v>91</v>
      </c>
      <c r="G12" s="1032" t="str">
        <f>G1&amp;".1"</f>
        <v>4.1</v>
      </c>
      <c r="H12" s="1032" t="str">
        <f>G1&amp;".2"</f>
        <v>4.2</v>
      </c>
      <c r="I12" s="1032" t="str">
        <f>I1&amp;".1"</f>
        <v>4.1</v>
      </c>
      <c r="J12" s="1032" t="str">
        <f>I1&amp;".2"</f>
        <v>4.2</v>
      </c>
      <c r="K12" s="1032"/>
      <c r="X12" s="517">
        <v>10</v>
      </c>
    </row>
    <row customHeight="1" ht="22.5" hidden="1">
      <c r="A13" s="2398" t="s">
        <v>844</v>
      </c>
      <c r="D13" s="959" t="s">
        <v>111</v>
      </c>
      <c r="E13" s="285" t="s">
        <v>845</v>
      </c>
      <c r="F13" s="666" t="s">
        <v>846</v>
      </c>
      <c r="G13" s="563"/>
      <c r="H13" s="667"/>
      <c r="I13" s="563"/>
      <c r="J13" s="667"/>
      <c r="K13" s="295" t="s">
        <v>847</v>
      </c>
      <c r="L13" s="726"/>
      <c r="X13" s="511">
        <v>0</v>
      </c>
    </row>
    <row customHeight="1" ht="22.5" hidden="1">
      <c r="A14" s="2398"/>
      <c r="D14" s="545" t="s">
        <v>112</v>
      </c>
      <c r="E14" s="285" t="s">
        <v>848</v>
      </c>
      <c r="F14" s="666" t="s">
        <v>849</v>
      </c>
      <c r="G14" s="563"/>
      <c r="H14" s="668"/>
      <c r="I14" s="563"/>
      <c r="J14" s="668"/>
      <c r="K14" s="295" t="s">
        <v>850</v>
      </c>
      <c r="L14" s="726"/>
      <c r="X14" s="511">
        <v>0</v>
      </c>
    </row>
    <row s="1641" customFormat="1" customHeight="1" ht="78.75" hidden="1">
      <c r="A15" s="2398"/>
      <c r="B15" s="517"/>
      <c r="D15" s="959" t="s">
        <v>91</v>
      </c>
      <c r="E15" s="713" t="s">
        <v>851</v>
      </c>
      <c r="F15" s="956" t="s">
        <v>322</v>
      </c>
      <c r="G15" s="956" t="s">
        <v>322</v>
      </c>
      <c r="H15" s="112"/>
      <c r="I15" s="956" t="s">
        <v>322</v>
      </c>
      <c r="J15" s="112"/>
      <c r="K15" s="295" t="s">
        <v>852</v>
      </c>
      <c r="L15" s="726"/>
      <c r="X15" s="764">
        <v>0</v>
      </c>
    </row>
    <row s="1641" customFormat="1" customHeight="1" ht="22.5" hidden="1">
      <c r="A16" s="2398"/>
      <c r="B16" s="517"/>
      <c r="D16" s="959" t="s">
        <v>340</v>
      </c>
      <c r="E16" s="960" t="s">
        <v>853</v>
      </c>
      <c r="F16" s="956" t="s">
        <v>854</v>
      </c>
      <c r="G16" s="823"/>
      <c r="H16" s="112"/>
      <c r="I16" s="823"/>
      <c r="J16" s="112"/>
      <c r="K16" s="295"/>
      <c r="L16" s="726"/>
      <c r="X16" s="764">
        <v>0</v>
      </c>
    </row>
    <row s="1641" customFormat="1" customHeight="1" ht="22.5" hidden="1">
      <c r="A17" s="2398"/>
      <c r="B17" s="517"/>
      <c r="D17" s="959" t="s">
        <v>348</v>
      </c>
      <c r="E17" s="960" t="s">
        <v>855</v>
      </c>
      <c r="F17" s="956" t="s">
        <v>856</v>
      </c>
      <c r="G17" s="823"/>
      <c r="H17" s="112"/>
      <c r="I17" s="823"/>
      <c r="J17" s="112"/>
      <c r="K17" s="295"/>
      <c r="L17" s="726"/>
      <c r="X17" s="764">
        <v>0</v>
      </c>
    </row>
    <row s="1641" customFormat="1" customHeight="1" ht="33.75" hidden="1">
      <c r="A18" s="2398"/>
      <c r="B18" s="517"/>
      <c r="D18" s="959" t="s">
        <v>350</v>
      </c>
      <c r="E18" s="960" t="s">
        <v>857</v>
      </c>
      <c r="F18" s="956" t="s">
        <v>608</v>
      </c>
      <c r="G18" s="686"/>
      <c r="H18" s="112"/>
      <c r="I18" s="686"/>
      <c r="J18" s="112"/>
      <c r="K18" s="295"/>
      <c r="L18" s="726"/>
      <c r="X18" s="764">
        <v>0</v>
      </c>
    </row>
    <row customHeight="1" ht="101.25" hidden="1">
      <c r="A19" s="2398"/>
      <c r="D19" s="959" t="s">
        <v>92</v>
      </c>
      <c r="E19" s="285" t="s">
        <v>858</v>
      </c>
      <c r="F19" s="666" t="s">
        <v>583</v>
      </c>
      <c r="G19" s="669"/>
      <c r="H19" s="668"/>
      <c r="I19" s="961"/>
      <c r="J19" s="668"/>
      <c r="K19" s="295" t="s">
        <v>859</v>
      </c>
      <c r="L19" s="726"/>
      <c r="X19" s="511">
        <v>0</v>
      </c>
    </row>
    <row s="1641" customFormat="1" customHeight="1" ht="18.75" hidden="1">
      <c r="A20" s="2398"/>
      <c r="C20" s="962"/>
      <c r="D20" s="959" t="s">
        <v>790</v>
      </c>
      <c r="E20" s="960" t="s">
        <v>860</v>
      </c>
      <c r="F20" s="956" t="s">
        <v>322</v>
      </c>
      <c r="G20" s="956" t="s">
        <v>322</v>
      </c>
      <c r="H20" s="955" t="s">
        <v>322</v>
      </c>
      <c r="I20" s="956" t="s">
        <v>322</v>
      </c>
      <c r="J20" s="955" t="s">
        <v>322</v>
      </c>
      <c r="K20" s="954"/>
      <c r="L20" s="726"/>
      <c r="W20" s="681"/>
      <c r="X20" s="764">
        <v>0</v>
      </c>
    </row>
    <row s="1641" customFormat="1" customHeight="1" ht="33.75" hidden="1">
      <c r="A21" s="2398"/>
      <c r="C21" s="962"/>
      <c r="D21" s="959" t="s">
        <v>793</v>
      </c>
      <c r="E21" s="582" t="s">
        <v>861</v>
      </c>
      <c r="F21" s="956" t="s">
        <v>862</v>
      </c>
      <c r="G21" s="686"/>
      <c r="H21" s="112"/>
      <c r="I21" s="686"/>
      <c r="J21" s="112"/>
      <c r="K21" s="954"/>
      <c r="L21" s="726"/>
      <c r="W21" s="681"/>
      <c r="X21" s="764">
        <v>0</v>
      </c>
    </row>
    <row s="1641" customFormat="1" customHeight="1" ht="33.75" hidden="1">
      <c r="A22" s="2398"/>
      <c r="C22" s="962"/>
      <c r="D22" s="959" t="s">
        <v>796</v>
      </c>
      <c r="E22" s="582" t="s">
        <v>863</v>
      </c>
      <c r="F22" s="956" t="s">
        <v>864</v>
      </c>
      <c r="G22" s="686"/>
      <c r="H22" s="112"/>
      <c r="I22" s="686"/>
      <c r="J22" s="112"/>
      <c r="K22" s="954"/>
      <c r="L22" s="726"/>
      <c r="W22" s="681"/>
      <c r="X22" s="764">
        <v>0</v>
      </c>
    </row>
    <row s="1641" customFormat="1" customHeight="1" ht="22.5" hidden="1">
      <c r="A23" s="2398"/>
      <c r="C23" s="962"/>
      <c r="D23" s="959" t="s">
        <v>832</v>
      </c>
      <c r="E23" s="960" t="s">
        <v>865</v>
      </c>
      <c r="F23" s="956" t="s">
        <v>322</v>
      </c>
      <c r="G23" s="956" t="s">
        <v>322</v>
      </c>
      <c r="H23" s="955" t="s">
        <v>322</v>
      </c>
      <c r="I23" s="956" t="s">
        <v>322</v>
      </c>
      <c r="J23" s="955" t="s">
        <v>322</v>
      </c>
      <c r="K23" s="954"/>
      <c r="L23" s="726"/>
      <c r="W23" s="681"/>
      <c r="X23" s="764">
        <v>0</v>
      </c>
    </row>
    <row s="1641" customFormat="1" customHeight="1" ht="22.5" hidden="1">
      <c r="A24" s="2398"/>
      <c r="C24" s="962"/>
      <c r="D24" s="959" t="s">
        <v>866</v>
      </c>
      <c r="E24" s="582" t="s">
        <v>867</v>
      </c>
      <c r="F24" s="956" t="s">
        <v>868</v>
      </c>
      <c r="G24" s="686"/>
      <c r="H24" s="692"/>
      <c r="I24" s="686"/>
      <c r="J24" s="692"/>
      <c r="K24" s="954"/>
      <c r="L24" s="726"/>
      <c r="W24" s="681"/>
      <c r="X24" s="764">
        <v>0</v>
      </c>
    </row>
    <row s="1641" customFormat="1" customHeight="1" ht="22.5" hidden="1">
      <c r="A25" s="2398"/>
      <c r="C25" s="962"/>
      <c r="D25" s="959" t="s">
        <v>869</v>
      </c>
      <c r="E25" s="582" t="s">
        <v>870</v>
      </c>
      <c r="F25" s="956" t="s">
        <v>322</v>
      </c>
      <c r="G25" s="956" t="s">
        <v>322</v>
      </c>
      <c r="H25" s="955" t="s">
        <v>322</v>
      </c>
      <c r="I25" s="956" t="s">
        <v>322</v>
      </c>
      <c r="J25" s="955" t="s">
        <v>322</v>
      </c>
      <c r="K25" s="954"/>
      <c r="L25" s="726"/>
      <c r="W25" s="681"/>
      <c r="X25" s="764">
        <v>0</v>
      </c>
    </row>
    <row s="1641" customFormat="1" customHeight="1" ht="18.75" hidden="1">
      <c r="A26" s="2398"/>
      <c r="C26" s="962"/>
      <c r="D26" s="959" t="s">
        <v>871</v>
      </c>
      <c r="E26" s="559" t="s">
        <v>872</v>
      </c>
      <c r="F26" s="956" t="s">
        <v>873</v>
      </c>
      <c r="G26" s="686"/>
      <c r="H26" s="692"/>
      <c r="I26" s="686"/>
      <c r="J26" s="692"/>
      <c r="K26" s="954"/>
      <c r="L26" s="726"/>
      <c r="W26" s="681"/>
      <c r="X26" s="764">
        <v>0</v>
      </c>
    </row>
    <row s="1641" customFormat="1" customHeight="1" ht="18.75" hidden="1">
      <c r="A27" s="2398"/>
      <c r="C27" s="962"/>
      <c r="D27" s="959" t="s">
        <v>874</v>
      </c>
      <c r="E27" s="559" t="s">
        <v>875</v>
      </c>
      <c r="F27" s="956" t="s">
        <v>876</v>
      </c>
      <c r="G27" s="686"/>
      <c r="H27" s="692"/>
      <c r="I27" s="686"/>
      <c r="J27" s="692"/>
      <c r="K27" s="954"/>
      <c r="L27" s="726"/>
      <c r="W27" s="681"/>
      <c r="X27" s="764">
        <v>0</v>
      </c>
    </row>
    <row s="1641" customFormat="1" customHeight="1" ht="18.75" hidden="1">
      <c r="A28" s="2398"/>
      <c r="C28" s="962"/>
      <c r="D28" s="959" t="s">
        <v>877</v>
      </c>
      <c r="E28" s="582" t="s">
        <v>878</v>
      </c>
      <c r="F28" s="956" t="s">
        <v>322</v>
      </c>
      <c r="G28" s="956" t="s">
        <v>322</v>
      </c>
      <c r="H28" s="955" t="s">
        <v>322</v>
      </c>
      <c r="I28" s="956" t="s">
        <v>322</v>
      </c>
      <c r="J28" s="955" t="s">
        <v>322</v>
      </c>
      <c r="K28" s="954"/>
      <c r="L28" s="726"/>
      <c r="W28" s="681"/>
      <c r="X28" s="764">
        <v>0</v>
      </c>
    </row>
    <row s="1641" customFormat="1" customHeight="1" ht="18.75" hidden="1">
      <c r="A29" s="2398"/>
      <c r="C29" s="962"/>
      <c r="D29" s="959" t="s">
        <v>879</v>
      </c>
      <c r="E29" s="559" t="s">
        <v>872</v>
      </c>
      <c r="F29" s="956" t="s">
        <v>880</v>
      </c>
      <c r="G29" s="686"/>
      <c r="H29" s="692"/>
      <c r="I29" s="686"/>
      <c r="J29" s="692"/>
      <c r="K29" s="954"/>
      <c r="L29" s="726"/>
      <c r="W29" s="681"/>
      <c r="X29" s="764">
        <v>0</v>
      </c>
    </row>
    <row s="1641" customFormat="1" customHeight="1" ht="18.75" hidden="1">
      <c r="A30" s="2398"/>
      <c r="C30" s="962"/>
      <c r="D30" s="959" t="s">
        <v>881</v>
      </c>
      <c r="E30" s="559" t="s">
        <v>882</v>
      </c>
      <c r="F30" s="956" t="s">
        <v>883</v>
      </c>
      <c r="G30" s="686"/>
      <c r="H30" s="692"/>
      <c r="I30" s="686"/>
      <c r="J30" s="692"/>
      <c r="K30" s="954"/>
      <c r="L30" s="726"/>
      <c r="W30" s="681"/>
      <c r="X30" s="764">
        <v>0</v>
      </c>
    </row>
    <row customHeight="1" ht="126.75" hidden="1">
      <c r="A31" s="2398"/>
      <c r="D31" s="959" t="s">
        <v>113</v>
      </c>
      <c r="E31" s="285" t="s">
        <v>884</v>
      </c>
      <c r="F31" s="666" t="s">
        <v>595</v>
      </c>
      <c r="G31" s="563"/>
      <c r="H31" s="668"/>
      <c r="I31" s="563"/>
      <c r="J31" s="668"/>
      <c r="K31" s="295" t="s">
        <v>885</v>
      </c>
      <c r="L31" s="726"/>
      <c r="X31" s="511">
        <v>0</v>
      </c>
    </row>
    <row customHeight="1" ht="56.25" hidden="1">
      <c r="A32" s="2398"/>
      <c r="D32" s="959" t="s">
        <v>93</v>
      </c>
      <c r="E32" s="285" t="s">
        <v>886</v>
      </c>
      <c r="F32" s="545" t="s">
        <v>856</v>
      </c>
      <c r="G32" s="563"/>
      <c r="H32" s="668"/>
      <c r="I32" s="563"/>
      <c r="J32" s="668"/>
      <c r="K32" s="295" t="s">
        <v>887</v>
      </c>
      <c r="L32" s="726"/>
      <c r="X32" s="511">
        <v>0</v>
      </c>
    </row>
    <row customHeight="1" ht="11.25" hidden="1">
      <c r="A33" s="2398"/>
      <c r="E33" s="670"/>
      <c r="F33" s="187"/>
      <c r="G33" s="187"/>
      <c r="H33" s="187"/>
      <c r="I33" s="187"/>
      <c r="J33" s="187"/>
      <c r="K33" s="187"/>
      <c r="X33" s="511">
        <v>0</v>
      </c>
    </row>
    <row customHeight="1" ht="12.75" hidden="1">
      <c r="A34" s="2398"/>
      <c r="D34" s="71">
        <v>1</v>
      </c>
      <c r="E34" s="341" t="s">
        <v>888</v>
      </c>
      <c r="X34" s="511">
        <v>0</v>
      </c>
    </row>
    <row customHeight="1" ht="11.25" hidden="1">
      <c r="A35" s="2398"/>
      <c r="D35" s="375"/>
      <c r="E35" s="341" t="s">
        <v>889</v>
      </c>
      <c r="X35" s="511">
        <v>0</v>
      </c>
    </row>
    <row s="1641" customFormat="1" customHeight="1" ht="11.549999999999999">
      <c r="A36" s="1039"/>
      <c r="B36" s="524"/>
      <c r="D36" s="1040"/>
      <c r="E36" s="1041"/>
      <c r="X36" s="515">
        <v>11</v>
      </c>
    </row>
    <row s="1641" customFormat="1" customHeight="1" ht="22.5">
      <c r="A37" s="2398" t="s">
        <v>890</v>
      </c>
      <c r="B37" s="517"/>
      <c r="D37" s="959">
        <v>1</v>
      </c>
      <c r="E37" s="713" t="s">
        <v>891</v>
      </c>
      <c r="F37" s="666" t="s">
        <v>846</v>
      </c>
      <c r="G37" s="563"/>
      <c r="H37" s="525"/>
      <c r="I37" s="563"/>
      <c r="J37" s="525"/>
      <c r="K37" s="295" t="s">
        <v>892</v>
      </c>
      <c r="X37" s="764">
        <v>0</v>
      </c>
    </row>
    <row s="1641" customFormat="1" customHeight="1" ht="22.5">
      <c r="A38" s="2398"/>
      <c r="B38" s="517"/>
      <c r="D38" s="675" t="s">
        <v>112</v>
      </c>
      <c r="E38" s="1038" t="s">
        <v>893</v>
      </c>
      <c r="F38" s="1042" t="s">
        <v>583</v>
      </c>
      <c r="G38" s="1042" t="s">
        <v>583</v>
      </c>
      <c r="H38" s="1036"/>
      <c r="I38" s="1042" t="s">
        <v>583</v>
      </c>
      <c r="J38" s="1036"/>
      <c r="K38" s="1037"/>
      <c r="X38" s="764">
        <v>0</v>
      </c>
    </row>
    <row s="1641" customFormat="1" customHeight="1" ht="33.75">
      <c r="A39" s="2398"/>
      <c r="B39" s="517"/>
      <c r="D39" s="671" t="s">
        <v>748</v>
      </c>
      <c r="E39" s="729" t="s">
        <v>894</v>
      </c>
      <c r="F39" s="666" t="s">
        <v>895</v>
      </c>
      <c r="G39" s="674"/>
      <c r="H39" s="1029"/>
      <c r="I39" s="674"/>
      <c r="J39" s="1029"/>
      <c r="K39" s="295" t="s">
        <v>896</v>
      </c>
      <c r="X39" s="764">
        <v>0</v>
      </c>
    </row>
    <row s="1641" customFormat="1" customHeight="1" ht="33.75">
      <c r="A40" s="2398"/>
      <c r="B40" s="517"/>
      <c r="D40" s="671" t="s">
        <v>751</v>
      </c>
      <c r="E40" s="729" t="s">
        <v>897</v>
      </c>
      <c r="F40" s="1033" t="s">
        <v>898</v>
      </c>
      <c r="G40" s="747"/>
      <c r="H40" s="1029"/>
      <c r="I40" s="747"/>
      <c r="J40" s="1029"/>
      <c r="K40" s="295" t="s">
        <v>899</v>
      </c>
      <c r="X40" s="764">
        <v>0</v>
      </c>
    </row>
    <row s="1641" customFormat="1" customHeight="1" ht="22.5">
      <c r="A41" s="2398"/>
      <c r="B41" s="517"/>
      <c r="D41" s="671" t="s">
        <v>91</v>
      </c>
      <c r="E41" s="728" t="s">
        <v>900</v>
      </c>
      <c r="F41" s="666" t="s">
        <v>583</v>
      </c>
      <c r="G41" s="666" t="s">
        <v>583</v>
      </c>
      <c r="H41" s="1030"/>
      <c r="I41" s="666" t="s">
        <v>583</v>
      </c>
      <c r="J41" s="1030"/>
      <c r="K41" s="308"/>
      <c r="X41" s="764">
        <v>0</v>
      </c>
    </row>
    <row s="1641" customFormat="1" customHeight="1" ht="45">
      <c r="A42" s="2398"/>
      <c r="B42" s="517"/>
      <c r="D42" s="671" t="s">
        <v>340</v>
      </c>
      <c r="E42" s="729" t="s">
        <v>901</v>
      </c>
      <c r="F42" s="666" t="s">
        <v>595</v>
      </c>
      <c r="G42" s="563"/>
      <c r="H42" s="1030"/>
      <c r="I42" s="563"/>
      <c r="J42" s="1030"/>
      <c r="K42" s="308" t="s">
        <v>902</v>
      </c>
      <c r="X42" s="764">
        <v>0</v>
      </c>
    </row>
    <row s="1641" customFormat="1" customHeight="1" ht="45">
      <c r="A43" s="2398"/>
      <c r="B43" s="517"/>
      <c r="D43" s="671" t="s">
        <v>348</v>
      </c>
      <c r="E43" s="673" t="s">
        <v>903</v>
      </c>
      <c r="F43" s="1034" t="s">
        <v>595</v>
      </c>
      <c r="G43" s="748"/>
      <c r="H43" s="1029"/>
      <c r="I43" s="748"/>
      <c r="J43" s="1029"/>
      <c r="K43" s="308" t="s">
        <v>904</v>
      </c>
      <c r="X43" s="764">
        <v>0</v>
      </c>
    </row>
    <row s="1641" customFormat="1" customHeight="1" ht="11.25">
      <c r="A44" s="2398"/>
      <c r="B44" s="517"/>
      <c r="D44" s="671" t="s">
        <v>92</v>
      </c>
      <c r="E44" s="672" t="s">
        <v>905</v>
      </c>
      <c r="F44" s="666" t="s">
        <v>895</v>
      </c>
      <c r="G44" s="674"/>
      <c r="H44" s="1029"/>
      <c r="I44" s="674"/>
      <c r="J44" s="1029"/>
      <c r="K44" s="295"/>
      <c r="X44" s="764">
        <v>0</v>
      </c>
    </row>
    <row s="1641" customFormat="1" customHeight="1" ht="11.25">
      <c r="A45" s="2398"/>
      <c r="B45" s="517"/>
      <c r="D45" s="671" t="s">
        <v>790</v>
      </c>
      <c r="E45" s="673" t="s">
        <v>906</v>
      </c>
      <c r="F45" s="666" t="s">
        <v>895</v>
      </c>
      <c r="G45" s="674"/>
      <c r="H45" s="1029"/>
      <c r="I45" s="674"/>
      <c r="J45" s="1029"/>
      <c r="K45" s="295"/>
      <c r="X45" s="764">
        <v>0</v>
      </c>
    </row>
    <row s="1641" customFormat="1" customHeight="1" ht="11.25">
      <c r="A46" s="2398"/>
      <c r="B46" s="517"/>
      <c r="D46" s="671" t="s">
        <v>832</v>
      </c>
      <c r="E46" s="673" t="s">
        <v>907</v>
      </c>
      <c r="F46" s="666" t="s">
        <v>895</v>
      </c>
      <c r="G46" s="674"/>
      <c r="H46" s="1029"/>
      <c r="I46" s="674"/>
      <c r="J46" s="1029"/>
      <c r="K46" s="295"/>
      <c r="X46" s="764">
        <v>0</v>
      </c>
    </row>
    <row s="1641" customFormat="1" customHeight="1" ht="11.25">
      <c r="A47" s="2398"/>
      <c r="B47" s="517"/>
      <c r="D47" s="671" t="s">
        <v>835</v>
      </c>
      <c r="E47" s="673" t="s">
        <v>908</v>
      </c>
      <c r="F47" s="666" t="s">
        <v>895</v>
      </c>
      <c r="G47" s="674"/>
      <c r="H47" s="1029"/>
      <c r="I47" s="674"/>
      <c r="J47" s="1029"/>
      <c r="K47" s="295"/>
      <c r="X47" s="764">
        <v>0</v>
      </c>
    </row>
    <row s="1641" customFormat="1" customHeight="1" ht="11.25">
      <c r="A48" s="2398"/>
      <c r="B48" s="517"/>
      <c r="D48" s="671" t="s">
        <v>909</v>
      </c>
      <c r="E48" s="677" t="s">
        <v>910</v>
      </c>
      <c r="F48" s="666" t="s">
        <v>895</v>
      </c>
      <c r="G48" s="674"/>
      <c r="H48" s="1029"/>
      <c r="I48" s="674"/>
      <c r="J48" s="1029"/>
      <c r="K48" s="295"/>
      <c r="X48" s="764">
        <v>0</v>
      </c>
    </row>
    <row s="1641" customFormat="1" customHeight="1" ht="11.25">
      <c r="A49" s="2398"/>
      <c r="B49" s="517"/>
      <c r="D49" s="671" t="s">
        <v>911</v>
      </c>
      <c r="E49" s="677" t="s">
        <v>912</v>
      </c>
      <c r="F49" s="666" t="s">
        <v>895</v>
      </c>
      <c r="G49" s="674"/>
      <c r="H49" s="1029"/>
      <c r="I49" s="674"/>
      <c r="J49" s="1029"/>
      <c r="K49" s="295"/>
      <c r="X49" s="764">
        <v>0</v>
      </c>
    </row>
    <row s="1641" customFormat="1" customHeight="1" ht="11.25">
      <c r="A50" s="2398"/>
      <c r="B50" s="517"/>
      <c r="D50" s="671" t="s">
        <v>913</v>
      </c>
      <c r="E50" s="673" t="s">
        <v>914</v>
      </c>
      <c r="F50" s="666" t="s">
        <v>895</v>
      </c>
      <c r="G50" s="674"/>
      <c r="H50" s="1029"/>
      <c r="I50" s="674"/>
      <c r="J50" s="1029"/>
      <c r="K50" s="295"/>
      <c r="X50" s="764">
        <v>0</v>
      </c>
    </row>
    <row s="1641" customFormat="1" customHeight="1" ht="11.25">
      <c r="A51" s="2398"/>
      <c r="B51" s="517"/>
      <c r="D51" s="671" t="s">
        <v>915</v>
      </c>
      <c r="E51" s="673" t="s">
        <v>916</v>
      </c>
      <c r="F51" s="666" t="s">
        <v>895</v>
      </c>
      <c r="G51" s="674"/>
      <c r="H51" s="1029"/>
      <c r="I51" s="674"/>
      <c r="J51" s="1029"/>
      <c r="K51" s="295"/>
      <c r="X51" s="764">
        <v>0</v>
      </c>
    </row>
    <row s="1641" customFormat="1" customHeight="1" ht="45">
      <c r="A52" s="2398"/>
      <c r="B52" s="517"/>
      <c r="D52" s="671" t="s">
        <v>113</v>
      </c>
      <c r="E52" s="672" t="s">
        <v>917</v>
      </c>
      <c r="F52" s="666" t="s">
        <v>895</v>
      </c>
      <c r="G52" s="674"/>
      <c r="H52" s="1029"/>
      <c r="I52" s="674"/>
      <c r="J52" s="1029"/>
      <c r="K52" s="295"/>
      <c r="X52" s="764">
        <v>0</v>
      </c>
    </row>
    <row s="1641" customFormat="1" customHeight="1" ht="11.25">
      <c r="A53" s="2398"/>
      <c r="B53" s="517"/>
      <c r="D53" s="671" t="s">
        <v>329</v>
      </c>
      <c r="E53" s="673" t="s">
        <v>906</v>
      </c>
      <c r="F53" s="666" t="s">
        <v>895</v>
      </c>
      <c r="G53" s="674"/>
      <c r="H53" s="1029"/>
      <c r="I53" s="674"/>
      <c r="J53" s="1029"/>
      <c r="K53" s="295"/>
      <c r="X53" s="764">
        <v>0</v>
      </c>
    </row>
    <row s="1641" customFormat="1" customHeight="1" ht="11.25">
      <c r="A54" s="2398"/>
      <c r="B54" s="517"/>
      <c r="D54" s="671" t="s">
        <v>918</v>
      </c>
      <c r="E54" s="673" t="s">
        <v>907</v>
      </c>
      <c r="F54" s="666" t="s">
        <v>895</v>
      </c>
      <c r="G54" s="674"/>
      <c r="H54" s="1029"/>
      <c r="I54" s="674"/>
      <c r="J54" s="1029"/>
      <c r="K54" s="295"/>
      <c r="X54" s="764">
        <v>0</v>
      </c>
    </row>
    <row s="1641" customFormat="1" customHeight="1" ht="11.25">
      <c r="A55" s="2398"/>
      <c r="B55" s="517"/>
      <c r="D55" s="671" t="s">
        <v>919</v>
      </c>
      <c r="E55" s="673" t="s">
        <v>908</v>
      </c>
      <c r="F55" s="666" t="s">
        <v>895</v>
      </c>
      <c r="G55" s="674"/>
      <c r="H55" s="1029"/>
      <c r="I55" s="674"/>
      <c r="J55" s="1029"/>
      <c r="K55" s="295"/>
      <c r="X55" s="764">
        <v>0</v>
      </c>
    </row>
    <row s="1641" customFormat="1" customHeight="1" ht="11.25">
      <c r="A56" s="2398"/>
      <c r="B56" s="517"/>
      <c r="D56" s="671" t="s">
        <v>920</v>
      </c>
      <c r="E56" s="677" t="s">
        <v>910</v>
      </c>
      <c r="F56" s="666" t="s">
        <v>895</v>
      </c>
      <c r="G56" s="674"/>
      <c r="H56" s="1029"/>
      <c r="I56" s="674"/>
      <c r="J56" s="1029"/>
      <c r="K56" s="295"/>
      <c r="X56" s="764">
        <v>0</v>
      </c>
    </row>
    <row s="1641" customFormat="1" customHeight="1" ht="11.25">
      <c r="A57" s="2398"/>
      <c r="B57" s="517"/>
      <c r="D57" s="671" t="s">
        <v>921</v>
      </c>
      <c r="E57" s="677" t="s">
        <v>912</v>
      </c>
      <c r="F57" s="666" t="s">
        <v>895</v>
      </c>
      <c r="G57" s="674"/>
      <c r="H57" s="1029"/>
      <c r="I57" s="674"/>
      <c r="J57" s="1029"/>
      <c r="K57" s="295"/>
      <c r="X57" s="764">
        <v>0</v>
      </c>
    </row>
    <row s="1641" customFormat="1" customHeight="1" ht="11.25">
      <c r="A58" s="2398"/>
      <c r="B58" s="517"/>
      <c r="D58" s="671" t="s">
        <v>922</v>
      </c>
      <c r="E58" s="673" t="s">
        <v>914</v>
      </c>
      <c r="F58" s="666" t="s">
        <v>895</v>
      </c>
      <c r="G58" s="674"/>
      <c r="H58" s="1029"/>
      <c r="I58" s="674"/>
      <c r="J58" s="1029"/>
      <c r="K58" s="295"/>
      <c r="X58" s="764">
        <v>0</v>
      </c>
    </row>
    <row s="1641" customFormat="1" customHeight="1" ht="11.25">
      <c r="A59" s="2398"/>
      <c r="B59" s="517"/>
      <c r="D59" s="671" t="s">
        <v>923</v>
      </c>
      <c r="E59" s="673" t="s">
        <v>916</v>
      </c>
      <c r="F59" s="666" t="s">
        <v>895</v>
      </c>
      <c r="G59" s="674"/>
      <c r="H59" s="1029"/>
      <c r="I59" s="674"/>
      <c r="J59" s="1029"/>
      <c r="K59" s="295"/>
      <c r="X59" s="764">
        <v>0</v>
      </c>
    </row>
    <row s="1641" customFormat="1" customHeight="1" ht="33.75">
      <c r="A60" s="2398"/>
      <c r="B60" s="517"/>
      <c r="D60" s="671" t="s">
        <v>93</v>
      </c>
      <c r="E60" s="672" t="s">
        <v>924</v>
      </c>
      <c r="F60" s="727" t="s">
        <v>595</v>
      </c>
      <c r="G60" s="748"/>
      <c r="H60" s="1029"/>
      <c r="I60" s="748"/>
      <c r="J60" s="1029"/>
      <c r="K60" s="308" t="s">
        <v>925</v>
      </c>
      <c r="X60" s="764">
        <v>0</v>
      </c>
    </row>
    <row s="1641" customFormat="1" customHeight="1" ht="33.75">
      <c r="A61" s="2398"/>
      <c r="B61" s="517"/>
      <c r="D61" s="671" t="s">
        <v>94</v>
      </c>
      <c r="E61" s="672" t="s">
        <v>926</v>
      </c>
      <c r="F61" s="732" t="s">
        <v>856</v>
      </c>
      <c r="G61" s="674"/>
      <c r="H61" s="1029"/>
      <c r="I61" s="674"/>
      <c r="J61" s="1029"/>
      <c r="K61" s="295"/>
      <c r="X61" s="764">
        <v>0</v>
      </c>
    </row>
    <row s="1641" customFormat="1" customHeight="1" ht="22.5">
      <c r="A62" s="2398"/>
      <c r="B62" s="517" t="s">
        <v>625</v>
      </c>
      <c r="D62" s="671" t="s">
        <v>114</v>
      </c>
      <c r="E62" s="672" t="s">
        <v>927</v>
      </c>
      <c r="F62" s="732" t="s">
        <v>322</v>
      </c>
      <c r="G62" s="388"/>
      <c r="H62" s="1029"/>
      <c r="I62" s="388"/>
      <c r="J62" s="1029"/>
      <c r="K62" s="295" t="s">
        <v>668</v>
      </c>
      <c r="X62" s="764">
        <v>0</v>
      </c>
    </row>
    <row s="1641" customFormat="1" customHeight="1" ht="45">
      <c r="A63" s="2398"/>
      <c r="B63" s="517" t="s">
        <v>625</v>
      </c>
      <c r="D63" s="671" t="s">
        <v>928</v>
      </c>
      <c r="E63" s="673" t="s">
        <v>929</v>
      </c>
      <c r="F63" s="727" t="s">
        <v>322</v>
      </c>
      <c r="G63" s="388"/>
      <c r="H63" s="1029"/>
      <c r="I63" s="388"/>
      <c r="J63" s="1029"/>
      <c r="K63" s="295" t="s">
        <v>668</v>
      </c>
      <c r="X63" s="764">
        <v>0</v>
      </c>
    </row>
    <row s="1641" customFormat="1" customHeight="1" ht="11.549999999999999">
      <c r="A64" s="1039"/>
      <c r="B64" s="524"/>
      <c r="D64" s="1040"/>
      <c r="E64" s="1041"/>
      <c r="X64" s="515">
        <v>11</v>
      </c>
    </row>
    <row s="1641" customFormat="1" customHeight="1" ht="22.5" hidden="1">
      <c r="A65" s="2398" t="s">
        <v>930</v>
      </c>
      <c r="B65" s="517"/>
      <c r="D65" s="671">
        <v>1</v>
      </c>
      <c r="E65" s="750" t="s">
        <v>931</v>
      </c>
      <c r="F65" s="746" t="s">
        <v>846</v>
      </c>
      <c r="G65" s="747"/>
      <c r="H65" s="1035"/>
      <c r="I65" s="747"/>
      <c r="J65" s="1035"/>
      <c r="K65" s="307" t="s">
        <v>932</v>
      </c>
      <c r="X65" s="764">
        <v>0</v>
      </c>
    </row>
    <row s="1641" customFormat="1" customHeight="1" ht="56.25" hidden="1">
      <c r="A66" s="2398"/>
      <c r="B66" s="517"/>
      <c r="D66" s="749" t="s">
        <v>112</v>
      </c>
      <c r="E66" s="713" t="s">
        <v>933</v>
      </c>
      <c r="F66" s="666" t="s">
        <v>583</v>
      </c>
      <c r="G66" s="666" t="s">
        <v>583</v>
      </c>
      <c r="H66" s="525"/>
      <c r="I66" s="666" t="s">
        <v>583</v>
      </c>
      <c r="J66" s="525"/>
      <c r="K66" s="295"/>
      <c r="X66" s="764">
        <v>0</v>
      </c>
    </row>
    <row s="1641" customFormat="1" customHeight="1" ht="33.75" hidden="1">
      <c r="A67" s="2398"/>
      <c r="B67" s="517"/>
      <c r="D67" s="749" t="s">
        <v>745</v>
      </c>
      <c r="E67" s="960" t="s">
        <v>934</v>
      </c>
      <c r="F67" s="666" t="s">
        <v>898</v>
      </c>
      <c r="G67" s="733"/>
      <c r="H67" s="525"/>
      <c r="I67" s="733"/>
      <c r="J67" s="525"/>
      <c r="K67" s="295"/>
      <c r="X67" s="764">
        <v>0</v>
      </c>
    </row>
    <row s="1641" customFormat="1" customHeight="1" ht="22.5" hidden="1">
      <c r="A68" s="2398"/>
      <c r="B68" s="517"/>
      <c r="D68" s="749" t="s">
        <v>323</v>
      </c>
      <c r="E68" s="960" t="s">
        <v>935</v>
      </c>
      <c r="F68" s="666" t="s">
        <v>898</v>
      </c>
      <c r="G68" s="733"/>
      <c r="H68" s="525"/>
      <c r="I68" s="733"/>
      <c r="J68" s="525"/>
      <c r="K68" s="295"/>
      <c r="X68" s="764">
        <v>0</v>
      </c>
    </row>
    <row s="1641" customFormat="1" customHeight="1" ht="22.5" hidden="1">
      <c r="A69" s="2398"/>
      <c r="B69" s="517"/>
      <c r="D69" s="749" t="s">
        <v>326</v>
      </c>
      <c r="E69" s="960" t="s">
        <v>936</v>
      </c>
      <c r="F69" s="727" t="s">
        <v>595</v>
      </c>
      <c r="G69" s="748"/>
      <c r="H69" s="525"/>
      <c r="I69" s="748"/>
      <c r="J69" s="525"/>
      <c r="K69" s="295"/>
      <c r="X69" s="764">
        <v>0</v>
      </c>
    </row>
    <row s="1641" customFormat="1" customHeight="1" ht="22.5" hidden="1">
      <c r="A70" s="2398"/>
      <c r="B70" s="517"/>
      <c r="D70" s="749" t="s">
        <v>765</v>
      </c>
      <c r="E70" s="960" t="s">
        <v>937</v>
      </c>
      <c r="F70" s="727" t="s">
        <v>595</v>
      </c>
      <c r="G70" s="748"/>
      <c r="H70" s="525"/>
      <c r="I70" s="748"/>
      <c r="J70" s="525"/>
      <c r="K70" s="295"/>
      <c r="X70" s="764">
        <v>0</v>
      </c>
    </row>
    <row s="1641" customFormat="1" customHeight="1" ht="22.5" hidden="1">
      <c r="A71" s="2398"/>
      <c r="B71" s="517"/>
      <c r="D71" s="671" t="s">
        <v>91</v>
      </c>
      <c r="E71" s="672" t="s">
        <v>938</v>
      </c>
      <c r="F71" s="666" t="s">
        <v>898</v>
      </c>
      <c r="G71" s="563"/>
      <c r="H71" s="1036"/>
      <c r="I71" s="563"/>
      <c r="J71" s="1036"/>
      <c r="K71" s="308"/>
      <c r="X71" s="764">
        <v>0</v>
      </c>
    </row>
    <row s="1641" customFormat="1" customHeight="1" ht="56.25" hidden="1">
      <c r="A72" s="2398"/>
      <c r="B72" s="517"/>
      <c r="D72" s="671" t="s">
        <v>92</v>
      </c>
      <c r="E72" s="672" t="s">
        <v>939</v>
      </c>
      <c r="F72" s="727" t="s">
        <v>595</v>
      </c>
      <c r="G72" s="748"/>
      <c r="H72" s="1029"/>
      <c r="I72" s="748"/>
      <c r="J72" s="1029"/>
      <c r="K72" s="308"/>
      <c r="X72" s="764">
        <v>0</v>
      </c>
    </row>
    <row s="1641" customFormat="1" customHeight="1" ht="33.75" hidden="1">
      <c r="A73" s="2398"/>
      <c r="B73" s="517"/>
      <c r="D73" s="671" t="s">
        <v>113</v>
      </c>
      <c r="E73" s="672" t="s">
        <v>940</v>
      </c>
      <c r="F73" s="732" t="s">
        <v>856</v>
      </c>
      <c r="G73" s="674"/>
      <c r="H73" s="1029"/>
      <c r="I73" s="674"/>
      <c r="J73" s="1029"/>
      <c r="K73" s="295"/>
      <c r="X73" s="764">
        <v>0</v>
      </c>
    </row>
    <row s="1641" customFormat="1" customHeight="1" ht="22.5" hidden="1">
      <c r="A74" s="2398"/>
      <c r="B74" s="517" t="s">
        <v>625</v>
      </c>
      <c r="D74" s="671" t="s">
        <v>93</v>
      </c>
      <c r="E74" s="672" t="s">
        <v>941</v>
      </c>
      <c r="F74" s="732" t="s">
        <v>322</v>
      </c>
      <c r="G74" s="388"/>
      <c r="H74" s="1029"/>
      <c r="I74" s="388"/>
      <c r="J74" s="1029"/>
      <c r="K74" s="295" t="s">
        <v>668</v>
      </c>
      <c r="X74" s="764">
        <v>0</v>
      </c>
    </row>
    <row s="1641" customFormat="1" customHeight="1" ht="45" hidden="1">
      <c r="A75" s="2398"/>
      <c r="B75" s="517" t="s">
        <v>625</v>
      </c>
      <c r="D75" s="671" t="s">
        <v>689</v>
      </c>
      <c r="E75" s="673" t="s">
        <v>942</v>
      </c>
      <c r="F75" s="727" t="s">
        <v>322</v>
      </c>
      <c r="G75" s="388"/>
      <c r="H75" s="1029"/>
      <c r="I75" s="388"/>
      <c r="J75" s="1029"/>
      <c r="K75" s="295" t="s">
        <v>668</v>
      </c>
      <c r="X75" s="764">
        <v>0</v>
      </c>
    </row>
    <row s="1641" customFormat="1" customHeight="1" ht="11.549999999999999">
      <c r="A76" s="1039"/>
      <c r="B76" s="524"/>
      <c r="D76" s="1040"/>
      <c r="E76" s="1041"/>
      <c r="X76" s="515">
        <v>11</v>
      </c>
    </row>
    <row s="1641" customFormat="1" customHeight="1" ht="11.25" hidden="1">
      <c r="A77" s="2398" t="s">
        <v>943</v>
      </c>
      <c r="B77" s="517"/>
      <c r="D77" s="671">
        <v>1</v>
      </c>
      <c r="E77" s="672" t="s">
        <v>944</v>
      </c>
      <c r="F77" s="727" t="s">
        <v>846</v>
      </c>
      <c r="G77" s="730"/>
      <c r="H77" s="1029"/>
      <c r="I77" s="730"/>
      <c r="J77" s="1029"/>
      <c r="K77" s="295" t="s">
        <v>945</v>
      </c>
      <c r="X77" s="764">
        <v>0</v>
      </c>
    </row>
    <row s="1641" customFormat="1" customHeight="1" ht="11.25" hidden="1">
      <c r="A78" s="2398"/>
      <c r="B78" s="517"/>
      <c r="D78" s="671" t="s">
        <v>112</v>
      </c>
      <c r="E78" s="672" t="s">
        <v>946</v>
      </c>
      <c r="F78" s="727" t="s">
        <v>846</v>
      </c>
      <c r="G78" s="730"/>
      <c r="H78" s="1029"/>
      <c r="I78" s="730"/>
      <c r="J78" s="1029"/>
      <c r="K78" s="295" t="s">
        <v>947</v>
      </c>
      <c r="X78" s="764">
        <v>0</v>
      </c>
    </row>
    <row s="1641" customFormat="1" customHeight="1" ht="22.5" hidden="1">
      <c r="A79" s="2398"/>
      <c r="B79" s="517"/>
      <c r="D79" s="671" t="s">
        <v>91</v>
      </c>
      <c r="E79" s="728" t="s">
        <v>948</v>
      </c>
      <c r="F79" s="666" t="s">
        <v>895</v>
      </c>
      <c r="G79" s="730"/>
      <c r="H79" s="1029"/>
      <c r="I79" s="730"/>
      <c r="J79" s="1029"/>
      <c r="K79" s="295" t="s">
        <v>949</v>
      </c>
      <c r="X79" s="764">
        <v>0</v>
      </c>
    </row>
    <row s="1641" customFormat="1" customHeight="1" ht="11.25" hidden="1">
      <c r="A80" s="2398"/>
      <c r="B80" s="517"/>
      <c r="D80" s="671" t="s">
        <v>340</v>
      </c>
      <c r="E80" s="729" t="s">
        <v>950</v>
      </c>
      <c r="F80" s="666" t="s">
        <v>895</v>
      </c>
      <c r="G80" s="730"/>
      <c r="H80" s="1029"/>
      <c r="I80" s="730"/>
      <c r="J80" s="1029"/>
      <c r="K80" s="295"/>
      <c r="X80" s="764">
        <v>0</v>
      </c>
    </row>
    <row s="1641" customFormat="1" customHeight="1" ht="11.25" hidden="1">
      <c r="A81" s="2398"/>
      <c r="B81" s="517"/>
      <c r="D81" s="671" t="s">
        <v>348</v>
      </c>
      <c r="E81" s="729" t="s">
        <v>951</v>
      </c>
      <c r="F81" s="666" t="s">
        <v>895</v>
      </c>
      <c r="G81" s="730"/>
      <c r="H81" s="1029"/>
      <c r="I81" s="730"/>
      <c r="J81" s="1029"/>
      <c r="K81" s="295"/>
      <c r="X81" s="764">
        <v>0</v>
      </c>
    </row>
    <row s="1641" customFormat="1" customHeight="1" ht="11.25" hidden="1">
      <c r="A82" s="2398"/>
      <c r="B82" s="517"/>
      <c r="D82" s="671" t="s">
        <v>350</v>
      </c>
      <c r="E82" s="729" t="s">
        <v>952</v>
      </c>
      <c r="F82" s="666" t="s">
        <v>895</v>
      </c>
      <c r="G82" s="730"/>
      <c r="H82" s="1029"/>
      <c r="I82" s="730"/>
      <c r="J82" s="1029"/>
      <c r="K82" s="295"/>
      <c r="X82" s="764">
        <v>0</v>
      </c>
    </row>
    <row s="1641" customFormat="1" customHeight="1" ht="11.25" hidden="1">
      <c r="A83" s="2398"/>
      <c r="B83" s="517"/>
      <c r="D83" s="671" t="s">
        <v>352</v>
      </c>
      <c r="E83" s="729" t="s">
        <v>953</v>
      </c>
      <c r="F83" s="666" t="s">
        <v>895</v>
      </c>
      <c r="G83" s="730"/>
      <c r="H83" s="1029"/>
      <c r="I83" s="730"/>
      <c r="J83" s="1029"/>
      <c r="K83" s="295"/>
      <c r="X83" s="764">
        <v>0</v>
      </c>
    </row>
    <row s="1641" customFormat="1" customHeight="1" ht="11.25" hidden="1">
      <c r="A84" s="2398"/>
      <c r="B84" s="517"/>
      <c r="D84" s="671" t="s">
        <v>954</v>
      </c>
      <c r="E84" s="729" t="s">
        <v>955</v>
      </c>
      <c r="F84" s="666" t="s">
        <v>895</v>
      </c>
      <c r="G84" s="730"/>
      <c r="H84" s="1029"/>
      <c r="I84" s="730"/>
      <c r="J84" s="1029"/>
      <c r="K84" s="295"/>
      <c r="X84" s="764">
        <v>0</v>
      </c>
    </row>
    <row s="1641" customFormat="1" customHeight="1" ht="11.25" hidden="1">
      <c r="A85" s="2398"/>
      <c r="B85" s="517"/>
      <c r="D85" s="671" t="s">
        <v>956</v>
      </c>
      <c r="E85" s="729" t="s">
        <v>957</v>
      </c>
      <c r="F85" s="666" t="s">
        <v>895</v>
      </c>
      <c r="G85" s="730"/>
      <c r="H85" s="1029"/>
      <c r="I85" s="730"/>
      <c r="J85" s="1029"/>
      <c r="K85" s="295"/>
      <c r="X85" s="764">
        <v>0</v>
      </c>
    </row>
    <row s="1641" customFormat="1" customHeight="1" ht="11.25" hidden="1">
      <c r="A86" s="2398"/>
      <c r="B86" s="517"/>
      <c r="D86" s="671" t="s">
        <v>958</v>
      </c>
      <c r="E86" s="729" t="s">
        <v>959</v>
      </c>
      <c r="F86" s="666" t="s">
        <v>895</v>
      </c>
      <c r="G86" s="730"/>
      <c r="H86" s="1029"/>
      <c r="I86" s="730"/>
      <c r="J86" s="1029"/>
      <c r="K86" s="295"/>
      <c r="X86" s="764">
        <v>0</v>
      </c>
    </row>
    <row s="1641" customFormat="1" customHeight="1" ht="45" hidden="1">
      <c r="A87" s="2398"/>
      <c r="B87" s="517"/>
      <c r="D87" s="671" t="s">
        <v>92</v>
      </c>
      <c r="E87" s="672" t="s">
        <v>960</v>
      </c>
      <c r="F87" s="666" t="s">
        <v>895</v>
      </c>
      <c r="G87" s="730"/>
      <c r="H87" s="1029"/>
      <c r="I87" s="730"/>
      <c r="J87" s="1029"/>
      <c r="K87" s="295" t="s">
        <v>961</v>
      </c>
      <c r="X87" s="764">
        <v>0</v>
      </c>
    </row>
    <row s="1641" customFormat="1" customHeight="1" ht="11.25" hidden="1">
      <c r="A88" s="2398"/>
      <c r="B88" s="517"/>
      <c r="D88" s="671" t="s">
        <v>790</v>
      </c>
      <c r="E88" s="729" t="s">
        <v>950</v>
      </c>
      <c r="F88" s="666" t="s">
        <v>895</v>
      </c>
      <c r="G88" s="730"/>
      <c r="H88" s="1029"/>
      <c r="I88" s="730"/>
      <c r="J88" s="1029"/>
      <c r="K88" s="295"/>
      <c r="X88" s="764">
        <v>0</v>
      </c>
    </row>
    <row s="1641" customFormat="1" customHeight="1" ht="11.25" hidden="1">
      <c r="A89" s="2398"/>
      <c r="B89" s="517"/>
      <c r="D89" s="671" t="s">
        <v>832</v>
      </c>
      <c r="E89" s="729" t="s">
        <v>951</v>
      </c>
      <c r="F89" s="666" t="s">
        <v>895</v>
      </c>
      <c r="G89" s="730"/>
      <c r="H89" s="1029"/>
      <c r="I89" s="730"/>
      <c r="J89" s="1029"/>
      <c r="K89" s="295"/>
      <c r="X89" s="764">
        <v>0</v>
      </c>
    </row>
    <row s="1641" customFormat="1" customHeight="1" ht="11.25" hidden="1">
      <c r="A90" s="2398"/>
      <c r="B90" s="517"/>
      <c r="D90" s="671" t="s">
        <v>835</v>
      </c>
      <c r="E90" s="729" t="s">
        <v>952</v>
      </c>
      <c r="F90" s="666" t="s">
        <v>895</v>
      </c>
      <c r="G90" s="730"/>
      <c r="H90" s="1029"/>
      <c r="I90" s="730"/>
      <c r="J90" s="1029"/>
      <c r="K90" s="295"/>
      <c r="X90" s="764">
        <v>0</v>
      </c>
    </row>
    <row s="1641" customFormat="1" customHeight="1" ht="11.25" hidden="1">
      <c r="A91" s="2398"/>
      <c r="B91" s="517"/>
      <c r="D91" s="671" t="s">
        <v>913</v>
      </c>
      <c r="E91" s="729" t="s">
        <v>953</v>
      </c>
      <c r="F91" s="666" t="s">
        <v>895</v>
      </c>
      <c r="G91" s="730"/>
      <c r="H91" s="1029"/>
      <c r="I91" s="730"/>
      <c r="J91" s="1029"/>
      <c r="K91" s="295"/>
      <c r="X91" s="764">
        <v>0</v>
      </c>
    </row>
    <row s="1641" customFormat="1" customHeight="1" ht="11.25" hidden="1">
      <c r="A92" s="2398"/>
      <c r="B92" s="517"/>
      <c r="D92" s="671" t="s">
        <v>915</v>
      </c>
      <c r="E92" s="729" t="s">
        <v>955</v>
      </c>
      <c r="F92" s="666" t="s">
        <v>895</v>
      </c>
      <c r="G92" s="730"/>
      <c r="H92" s="1029"/>
      <c r="I92" s="730"/>
      <c r="J92" s="1029"/>
      <c r="K92" s="295"/>
      <c r="X92" s="764">
        <v>0</v>
      </c>
    </row>
    <row s="1641" customFormat="1" customHeight="1" ht="11.25" hidden="1">
      <c r="A93" s="2398"/>
      <c r="B93" s="517"/>
      <c r="D93" s="671" t="s">
        <v>962</v>
      </c>
      <c r="E93" s="729" t="s">
        <v>957</v>
      </c>
      <c r="F93" s="666" t="s">
        <v>895</v>
      </c>
      <c r="G93" s="730"/>
      <c r="H93" s="1029"/>
      <c r="I93" s="730"/>
      <c r="J93" s="1029"/>
      <c r="K93" s="295"/>
      <c r="X93" s="764">
        <v>0</v>
      </c>
    </row>
    <row s="1641" customFormat="1" customHeight="1" ht="11.25" hidden="1">
      <c r="A94" s="2398"/>
      <c r="B94" s="517"/>
      <c r="D94" s="671" t="s">
        <v>963</v>
      </c>
      <c r="E94" s="729" t="s">
        <v>959</v>
      </c>
      <c r="F94" s="666" t="s">
        <v>895</v>
      </c>
      <c r="G94" s="730"/>
      <c r="H94" s="1029"/>
      <c r="I94" s="730"/>
      <c r="J94" s="1029"/>
      <c r="K94" s="295"/>
      <c r="X94" s="764">
        <v>0</v>
      </c>
    </row>
    <row s="1641" customFormat="1" customHeight="1" ht="24.75" hidden="1">
      <c r="A95" s="2398"/>
      <c r="B95" s="517"/>
      <c r="D95" s="671" t="s">
        <v>113</v>
      </c>
      <c r="E95" s="672" t="s">
        <v>964</v>
      </c>
      <c r="F95" s="731" t="s">
        <v>595</v>
      </c>
      <c r="G95" s="733"/>
      <c r="H95" s="1029"/>
      <c r="I95" s="733"/>
      <c r="J95" s="1029"/>
      <c r="K95" s="295" t="s">
        <v>965</v>
      </c>
      <c r="X95" s="764">
        <v>0</v>
      </c>
    </row>
    <row s="1641" customFormat="1" customHeight="1" ht="33.75" hidden="1">
      <c r="A96" s="2398"/>
      <c r="B96" s="517"/>
      <c r="D96" s="671" t="s">
        <v>93</v>
      </c>
      <c r="E96" s="672" t="s">
        <v>966</v>
      </c>
      <c r="F96" s="732" t="s">
        <v>856</v>
      </c>
      <c r="G96" s="734"/>
      <c r="H96" s="1029"/>
      <c r="I96" s="734"/>
      <c r="J96" s="1029"/>
      <c r="K96" s="295"/>
      <c r="X96" s="764">
        <v>0</v>
      </c>
    </row>
    <row s="1641" customFormat="1" customHeight="1" ht="22.5" hidden="1">
      <c r="A97" s="2398"/>
      <c r="B97" s="517" t="s">
        <v>625</v>
      </c>
      <c r="D97" s="671" t="s">
        <v>94</v>
      </c>
      <c r="E97" s="672" t="s">
        <v>967</v>
      </c>
      <c r="F97" s="732" t="s">
        <v>322</v>
      </c>
      <c r="G97" s="391"/>
      <c r="H97" s="1029"/>
      <c r="I97" s="391"/>
      <c r="J97" s="1029"/>
      <c r="K97" s="295" t="s">
        <v>668</v>
      </c>
      <c r="X97" s="764">
        <v>0</v>
      </c>
    </row>
    <row s="1641" customFormat="1" customHeight="1" ht="45" hidden="1">
      <c r="A98" s="2398"/>
      <c r="B98" s="517" t="s">
        <v>625</v>
      </c>
      <c r="D98" s="671" t="s">
        <v>968</v>
      </c>
      <c r="E98" s="673" t="s">
        <v>969</v>
      </c>
      <c r="F98" s="727" t="s">
        <v>322</v>
      </c>
      <c r="G98" s="391"/>
      <c r="H98" s="1029"/>
      <c r="I98" s="391"/>
      <c r="J98" s="1029"/>
      <c r="K98" s="295" t="s">
        <v>668</v>
      </c>
      <c r="X98" s="764">
        <v>0</v>
      </c>
    </row>
    <row s="1641" customFormat="1" customHeight="1" ht="95.25" hidden="1">
      <c r="A99" s="2398"/>
      <c r="B99" s="517" t="s">
        <v>625</v>
      </c>
      <c r="D99" s="671" t="s">
        <v>114</v>
      </c>
      <c r="E99" s="672" t="s">
        <v>970</v>
      </c>
      <c r="F99" s="727" t="s">
        <v>322</v>
      </c>
      <c r="G99" s="391"/>
      <c r="H99" s="1029"/>
      <c r="I99" s="391"/>
      <c r="J99" s="1029"/>
      <c r="K99" s="295" t="s">
        <v>668</v>
      </c>
      <c r="X99" s="764">
        <v>0</v>
      </c>
    </row>
    <row s="1641" customFormat="1" customHeight="1" ht="22.5" hidden="1">
      <c r="A100" s="2398"/>
      <c r="B100" s="517" t="s">
        <v>625</v>
      </c>
      <c r="D100" s="671" t="s">
        <v>150</v>
      </c>
      <c r="E100" s="672" t="s">
        <v>971</v>
      </c>
      <c r="F100" s="727" t="s">
        <v>322</v>
      </c>
      <c r="G100" s="391"/>
      <c r="H100" s="1029"/>
      <c r="I100" s="391"/>
      <c r="J100" s="1029"/>
      <c r="K100" s="295" t="s">
        <v>668</v>
      </c>
      <c r="X100" s="764">
        <v>0</v>
      </c>
    </row>
    <row s="1641" customFormat="1" customHeight="1" ht="11.549999999999999">
      <c r="A101" s="1039"/>
      <c r="B101" s="524"/>
      <c r="D101" s="1040"/>
      <c r="E101" s="1041"/>
      <c r="X101" s="515">
        <v>11</v>
      </c>
    </row>
    <row customHeight="1" ht="22.5" hidden="1">
      <c r="A102" s="542" t="s">
        <v>83</v>
      </c>
      <c r="B102" s="517">
        <v>0</v>
      </c>
      <c r="C102" s="511">
        <v>3</v>
      </c>
      <c r="D102" s="511">
        <v>7</v>
      </c>
      <c r="E102" s="511">
        <v>69</v>
      </c>
      <c r="F102" s="511">
        <v>10</v>
      </c>
      <c r="G102" s="511">
        <v>0</v>
      </c>
      <c r="H102" s="511">
        <v>0</v>
      </c>
      <c r="I102" s="764">
        <v>43</v>
      </c>
      <c r="J102" s="764">
        <v>43</v>
      </c>
      <c r="K102" s="511">
        <v>73</v>
      </c>
      <c r="L102" s="511">
        <v>3</v>
      </c>
      <c r="M102" s="511">
        <v>10</v>
      </c>
      <c r="N102" s="511">
        <v>10</v>
      </c>
      <c r="O102" s="511">
        <v>10</v>
      </c>
      <c r="P102" s="511">
        <v>10</v>
      </c>
      <c r="Q102" s="511">
        <v>10</v>
      </c>
      <c r="R102" s="511">
        <v>10</v>
      </c>
      <c r="S102" s="511">
        <v>10</v>
      </c>
      <c r="T102" s="511">
        <v>10</v>
      </c>
      <c r="U102" s="511">
        <v>10</v>
      </c>
      <c r="V102" s="511">
        <v>10</v>
      </c>
      <c r="W102" s="511">
        <v>10</v>
      </c>
      <c r="X102" s="511">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EBE53B-5B2A-0E11-3D9D-AB57E3C1FC91}"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859" width="6.421875" hidden="1" customWidth="1"/>
    <col min="2" max="2" style="1859" width="2.00390625" hidden="1" customWidth="1"/>
    <col min="3" max="3" style="1859" width="3.00390625" customWidth="1"/>
    <col min="4" max="4" style="1859" width="4.00390625" customWidth="1"/>
    <col min="5" max="5" style="1859" width="44.00390625" customWidth="1"/>
    <col min="6" max="6" style="1859" width="6.421875" customWidth="1"/>
    <col min="7" max="7" style="1859" width="4.00390625" customWidth="1"/>
    <col min="8" max="8" style="1859" width="5.00390625" customWidth="1"/>
    <col min="9" max="9" style="1859" width="52.00390625" customWidth="1"/>
    <col min="10" max="10" style="1859" width="7.00390625" customWidth="1"/>
    <col min="11" max="11" style="1859" width="3.00390625" customWidth="1"/>
    <col min="12" max="12" style="1859" width="6.00390625" customWidth="1"/>
    <col min="13" max="13" style="1859" width="56.00390625" customWidth="1"/>
    <col min="14" max="14" style="1376" width="8.00390625" customWidth="1"/>
    <col min="15" max="20" style="1630" width="9.140625" hidden="1"/>
    <col min="21" max="24" style="1272" width="9.140625" hidden="1"/>
    <col min="25" max="37" style="1376" width="9.140625" hidden="1"/>
    <col min="38" max="38" style="1376" width="8.00390625" customWidth="1"/>
    <col min="39" max="39" style="1859" width="9.140625" hidden="1"/>
  </cols>
  <sheetData>
    <row customHeight="1" ht="11.25" hidden="1">
      <c r="AM1" s="589" t="s">
        <v>14</v>
      </c>
    </row>
    <row customHeight="1" ht="11.25" hidden="1">
      <c r="AM2" s="589">
        <v>0</v>
      </c>
    </row>
    <row customHeight="1" ht="11.549999999999999">
      <c r="AM3" s="589">
        <v>11</v>
      </c>
    </row>
    <row customHeight="1" ht="35.699999999999996">
      <c r="A4" s="591"/>
      <c r="B4" s="591"/>
      <c r="D4" s="2125" t="str">
        <f>Титульный!E5</f>
        <v>Показатели, подлежащие раскрытию в сфере холодного водоснабжения (цены и тарифы)</v>
      </c>
      <c r="E4" s="2126"/>
      <c r="F4" s="2126"/>
      <c r="G4" s="2126"/>
      <c r="H4" s="2126"/>
      <c r="I4" s="2127"/>
      <c r="J4" s="590"/>
      <c r="K4" s="590"/>
      <c r="L4" s="590"/>
      <c r="M4" s="590"/>
      <c r="AM4" s="589">
        <v>34</v>
      </c>
    </row>
    <row s="595" customFormat="1" customHeight="1" ht="14.699999999999998">
      <c r="A5" s="591"/>
      <c r="B5" s="591"/>
      <c r="C5" s="591"/>
      <c r="D5" s="2128" t="str">
        <f>IF(org=0,"Не определено",org)</f>
        <v>АО «ДГК» СП «Нерюнгринская ГРЭС»</v>
      </c>
      <c r="E5" s="2129"/>
      <c r="F5" s="2129"/>
      <c r="G5" s="2129"/>
      <c r="H5" s="2129"/>
      <c r="I5" s="2130"/>
      <c r="J5" s="592"/>
      <c r="K5" s="592"/>
      <c r="L5" s="592"/>
      <c r="M5" s="592"/>
      <c r="N5" s="592"/>
      <c r="O5" s="876"/>
      <c r="P5" s="876"/>
      <c r="Q5" s="876"/>
      <c r="R5" s="876"/>
      <c r="S5" s="876"/>
      <c r="T5" s="876"/>
      <c r="U5" s="1267"/>
      <c r="V5" s="1267"/>
      <c r="W5" s="1267"/>
      <c r="X5" s="1267"/>
      <c r="Y5" s="592"/>
      <c r="Z5" s="592"/>
      <c r="AA5" s="592"/>
      <c r="AB5" s="592"/>
      <c r="AC5" s="592"/>
      <c r="AD5" s="592"/>
      <c r="AE5" s="592"/>
      <c r="AF5" s="592"/>
      <c r="AG5" s="592"/>
      <c r="AH5" s="592"/>
      <c r="AI5" s="592"/>
      <c r="AJ5" s="592"/>
      <c r="AK5" s="592"/>
      <c r="AL5" s="592"/>
      <c r="AM5" s="593">
        <v>14</v>
      </c>
    </row>
    <row s="595" customFormat="1" customHeight="1" ht="6.3">
      <c r="A6" s="2131"/>
      <c r="B6" s="2131"/>
      <c r="C6" s="2131"/>
      <c r="D6" s="2131"/>
      <c r="E6" s="2131"/>
      <c r="F6" s="2131"/>
      <c r="G6" s="594"/>
      <c r="H6" s="594"/>
      <c r="I6" s="594"/>
      <c r="J6" s="594"/>
      <c r="K6" s="594"/>
      <c r="N6" s="596"/>
      <c r="O6" s="1420"/>
      <c r="P6" s="1420"/>
      <c r="Q6" s="1420"/>
      <c r="R6" s="1420"/>
      <c r="S6" s="1420"/>
      <c r="T6" s="1420"/>
      <c r="U6" s="1270"/>
      <c r="V6" s="1270"/>
      <c r="W6" s="1270"/>
      <c r="X6" s="1270"/>
      <c r="Y6" s="596"/>
      <c r="Z6" s="596"/>
      <c r="AA6" s="596"/>
      <c r="AB6" s="596"/>
      <c r="AC6" s="596"/>
      <c r="AD6" s="596"/>
      <c r="AE6" s="596"/>
      <c r="AF6" s="596"/>
      <c r="AG6" s="596"/>
      <c r="AH6" s="596"/>
      <c r="AI6" s="596"/>
      <c r="AJ6" s="596"/>
      <c r="AK6" s="596"/>
      <c r="AL6" s="596"/>
      <c r="AM6" s="595">
        <v>6</v>
      </c>
    </row>
    <row customHeight="1" ht="45.75" hidden="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89">
        <v>0</v>
      </c>
    </row>
    <row s="595" customFormat="1" customHeight="1" ht="6.3">
      <c r="A8" s="597"/>
      <c r="B8" s="597"/>
      <c r="C8" s="597"/>
      <c r="D8" s="597"/>
      <c r="E8" s="597"/>
      <c r="F8" s="597"/>
      <c r="G8" s="597"/>
      <c r="H8" s="597"/>
      <c r="I8" s="597"/>
      <c r="J8" s="597"/>
      <c r="K8" s="597"/>
      <c r="L8" s="597"/>
      <c r="M8" s="595"/>
      <c r="N8" s="592"/>
      <c r="O8" s="876"/>
      <c r="P8" s="876"/>
      <c r="Q8" s="876"/>
      <c r="R8" s="876"/>
      <c r="S8" s="876"/>
      <c r="T8" s="876"/>
      <c r="U8" s="1267"/>
      <c r="V8" s="1267"/>
      <c r="W8" s="1267"/>
      <c r="X8" s="1267"/>
      <c r="Y8" s="592"/>
      <c r="Z8" s="592"/>
      <c r="AA8" s="592"/>
      <c r="AB8" s="592"/>
      <c r="AC8" s="592"/>
      <c r="AD8" s="592"/>
      <c r="AE8" s="592"/>
      <c r="AF8" s="592"/>
      <c r="AG8" s="592"/>
      <c r="AH8" s="592"/>
      <c r="AI8" s="592"/>
      <c r="AJ8" s="592"/>
      <c r="AK8" s="592"/>
      <c r="AL8" s="592"/>
      <c r="AM8" s="593">
        <v>6</v>
      </c>
    </row>
    <row customHeight="1" ht="18.75">
      <c r="A9" s="2132"/>
      <c r="B9" s="329"/>
      <c r="C9" s="329"/>
      <c r="D9" s="2133" t="s">
        <v>107</v>
      </c>
      <c r="E9" s="2133"/>
      <c r="F9" s="2134" t="s">
        <v>108</v>
      </c>
      <c r="G9" s="2135"/>
      <c r="H9" s="2135"/>
      <c r="I9" s="2135"/>
      <c r="J9" s="2138" t="s">
        <v>109</v>
      </c>
      <c r="K9" s="2138"/>
      <c r="L9" s="2138"/>
      <c r="M9" s="2138"/>
      <c r="AM9" s="589">
        <v>18</v>
      </c>
    </row>
    <row customHeight="1" ht="24">
      <c r="A10" s="2132"/>
      <c r="B10" s="598"/>
      <c r="C10" s="531"/>
      <c r="D10" s="529" t="s">
        <v>89</v>
      </c>
      <c r="E10" s="529" t="s">
        <v>90</v>
      </c>
      <c r="F10" s="529" t="s">
        <v>110</v>
      </c>
      <c r="G10" s="2139" t="s">
        <v>89</v>
      </c>
      <c r="H10" s="2140"/>
      <c r="I10" s="529" t="s">
        <v>90</v>
      </c>
      <c r="J10" s="529" t="s">
        <v>110</v>
      </c>
      <c r="K10" s="2139" t="s">
        <v>89</v>
      </c>
      <c r="L10" s="2140"/>
      <c r="M10" s="529" t="s">
        <v>90</v>
      </c>
      <c r="N10" s="1633"/>
      <c r="AM10" s="589">
        <v>23</v>
      </c>
    </row>
    <row s="1859" customFormat="1" customHeight="1" ht="11.25" hidden="1">
      <c r="A11" s="599"/>
      <c r="B11" s="599"/>
      <c r="C11" s="599"/>
      <c r="D11" s="600" t="s">
        <v>111</v>
      </c>
      <c r="E11" s="600" t="s">
        <v>112</v>
      </c>
      <c r="F11" s="600" t="s">
        <v>91</v>
      </c>
      <c r="G11" s="2121" t="s">
        <v>92</v>
      </c>
      <c r="H11" s="2122"/>
      <c r="I11" s="600" t="s">
        <v>113</v>
      </c>
      <c r="J11" s="600" t="s">
        <v>93</v>
      </c>
      <c r="K11" s="2123" t="s">
        <v>94</v>
      </c>
      <c r="L11" s="2124"/>
      <c r="M11" s="600" t="s">
        <v>114</v>
      </c>
      <c r="N11" s="1632"/>
      <c r="O11" s="1419"/>
      <c r="P11" s="1421"/>
      <c r="Q11" s="1421"/>
      <c r="R11" s="1421"/>
      <c r="S11" s="1421"/>
      <c r="T11" s="1421"/>
      <c r="U11" s="1271"/>
      <c r="V11" s="1271"/>
      <c r="W11" s="1271"/>
      <c r="X11" s="1271"/>
      <c r="Y11" s="601"/>
      <c r="Z11" s="601"/>
      <c r="AA11" s="601"/>
      <c r="AB11" s="601"/>
      <c r="AC11" s="601"/>
      <c r="AD11" s="601"/>
      <c r="AE11" s="601"/>
      <c r="AF11" s="601"/>
      <c r="AG11" s="601"/>
      <c r="AH11" s="601"/>
      <c r="AI11" s="601"/>
      <c r="AJ11" s="601"/>
      <c r="AK11" s="601"/>
      <c r="AL11" s="601"/>
      <c r="AM11" s="602">
        <v>0</v>
      </c>
    </row>
    <row customHeight="1" ht="1.05">
      <c r="A12" s="603"/>
      <c r="B12" s="604"/>
      <c r="C12" s="604"/>
      <c r="D12" s="605"/>
      <c r="E12" s="373"/>
      <c r="F12" s="606"/>
      <c r="G12" s="1065"/>
      <c r="H12" s="1065"/>
      <c r="I12" s="606"/>
      <c r="J12" s="606"/>
      <c r="K12" s="180"/>
      <c r="L12" s="373"/>
      <c r="M12" s="607"/>
      <c r="N12" s="1633"/>
      <c r="O12" s="1419" t="s">
        <v>115</v>
      </c>
      <c r="P12" s="1419" t="s">
        <v>116</v>
      </c>
      <c r="Q12" s="1419" t="s">
        <v>117</v>
      </c>
      <c r="R12" s="1419" t="s">
        <v>118</v>
      </c>
      <c r="AM12" s="589">
        <v>1</v>
      </c>
    </row>
    <row s="1859" customFormat="1" customHeight="1" ht="15.75">
      <c r="A13" s="299"/>
      <c r="B13" s="299"/>
      <c r="C13" s="532"/>
      <c r="D13" s="2114" t="s">
        <v>111</v>
      </c>
      <c r="E13" s="2115"/>
      <c r="F13" s="2118" t="s">
        <v>62</v>
      </c>
      <c r="G13" s="2119"/>
      <c r="H13" s="2120">
        <v>1</v>
      </c>
      <c r="I13" s="2111" t="str">
        <f>IF(U13="","",INDEX(TERRITORY_MR_LIST,MATCH(U13,TERRITORY_LIST_ID,0)))</f>
        <v/>
      </c>
      <c r="J13" s="2113" t="s">
        <v>19</v>
      </c>
      <c r="K13" s="608"/>
      <c r="L13" s="533" t="s">
        <v>111</v>
      </c>
      <c r="M13" s="609" t="s">
        <v>28</v>
      </c>
      <c r="N13" s="818"/>
      <c r="O13" s="1422" t="s">
        <v>119</v>
      </c>
      <c r="P13" s="1419">
        <f>$E$13</f>
        <v>0</v>
      </c>
      <c r="Q13" s="1419" t="str">
        <f>IF($F$13="нет","без дифференциации",$I$13)</f>
        <v/>
      </c>
      <c r="R13" s="1419" t="str">
        <f>IF($J$13="нет","без дифференциации",M13)</f>
        <v>без дифференциации</v>
      </c>
      <c r="S13" s="1422"/>
      <c r="T13" s="1422"/>
      <c r="U13" s="1272"/>
      <c r="V13" s="1272"/>
      <c r="W13" s="1272"/>
      <c r="X13" s="1272"/>
      <c r="Y13" s="610" t="s">
        <v>120</v>
      </c>
      <c r="Z13" s="610">
        <v>1705000</v>
      </c>
      <c r="AA13" s="610"/>
      <c r="AB13" s="610"/>
      <c r="AC13" s="610"/>
      <c r="AD13" s="610"/>
      <c r="AE13" s="610"/>
      <c r="AF13" s="610"/>
      <c r="AG13" s="610"/>
      <c r="AH13" s="610"/>
      <c r="AI13" s="610"/>
      <c r="AJ13" s="610"/>
      <c r="AK13" s="610"/>
      <c r="AL13" s="610"/>
      <c r="AM13" s="612">
        <v>15</v>
      </c>
    </row>
    <row s="1859" customFormat="1" customHeight="1" ht="15.75">
      <c r="A14" s="299"/>
      <c r="B14" s="299"/>
      <c r="C14" s="182"/>
      <c r="D14" s="2114"/>
      <c r="E14" s="2116"/>
      <c r="F14" s="2113"/>
      <c r="G14" s="2119"/>
      <c r="H14" s="2120"/>
      <c r="I14" s="2112"/>
      <c r="J14" s="2113"/>
      <c r="K14" s="427"/>
      <c r="L14" s="183"/>
      <c r="M14" s="613" t="s">
        <v>121</v>
      </c>
      <c r="N14" s="818"/>
      <c r="O14" s="1422"/>
      <c r="P14" s="1419"/>
      <c r="Q14" s="1419"/>
      <c r="R14" s="1419"/>
      <c r="S14" s="1422"/>
      <c r="T14" s="1422"/>
      <c r="U14" s="1272"/>
      <c r="V14" s="1272"/>
      <c r="W14" s="1272"/>
      <c r="X14" s="1272"/>
      <c r="Y14" s="610"/>
      <c r="Z14" s="610"/>
      <c r="AA14" s="610"/>
      <c r="AB14" s="610"/>
      <c r="AC14" s="610"/>
      <c r="AD14" s="610"/>
      <c r="AE14" s="610"/>
      <c r="AF14" s="610"/>
      <c r="AG14" s="610"/>
      <c r="AH14" s="610"/>
      <c r="AI14" s="610"/>
      <c r="AJ14" s="610"/>
      <c r="AK14" s="610"/>
      <c r="AL14" s="610"/>
      <c r="AM14" s="612">
        <v>15</v>
      </c>
    </row>
    <row s="1859" customFormat="1" customHeight="1" ht="15.75">
      <c r="A15" s="299"/>
      <c r="B15" s="299"/>
      <c r="C15" s="182"/>
      <c r="D15" s="2114"/>
      <c r="E15" s="2117"/>
      <c r="F15" s="2113"/>
      <c r="G15" s="1066"/>
      <c r="H15" s="1067"/>
      <c r="I15" s="586" t="s">
        <v>122</v>
      </c>
      <c r="J15" s="183"/>
      <c r="K15" s="183"/>
      <c r="L15" s="183"/>
      <c r="M15" s="614"/>
      <c r="N15" s="818"/>
      <c r="O15" s="1422"/>
      <c r="P15" s="1419"/>
      <c r="Q15" s="1419"/>
      <c r="R15" s="1419"/>
      <c r="S15" s="1422"/>
      <c r="T15" s="1422"/>
      <c r="U15" s="1272"/>
      <c r="V15" s="1272"/>
      <c r="W15" s="1272"/>
      <c r="X15" s="1272"/>
      <c r="Y15" s="610"/>
      <c r="Z15" s="610"/>
      <c r="AA15" s="610"/>
      <c r="AB15" s="610"/>
      <c r="AC15" s="610"/>
      <c r="AD15" s="610"/>
      <c r="AE15" s="610"/>
      <c r="AF15" s="610"/>
      <c r="AG15" s="610"/>
      <c r="AH15" s="610"/>
      <c r="AI15" s="610"/>
      <c r="AJ15" s="610"/>
      <c r="AK15" s="610"/>
      <c r="AL15" s="610"/>
      <c r="AM15" s="612">
        <v>15</v>
      </c>
    </row>
    <row customHeight="1" ht="15.75">
      <c r="A16" s="615"/>
      <c r="B16" s="141"/>
      <c r="C16" s="812"/>
      <c r="D16" s="427"/>
      <c r="E16" s="577" t="s">
        <v>123</v>
      </c>
      <c r="F16" s="183"/>
      <c r="G16" s="183"/>
      <c r="H16" s="183"/>
      <c r="I16" s="183"/>
      <c r="J16" s="183"/>
      <c r="K16" s="183" t="s">
        <v>28</v>
      </c>
      <c r="L16" s="183"/>
      <c r="M16" s="614"/>
      <c r="N16" s="1633"/>
      <c r="AM16" s="589">
        <v>15</v>
      </c>
    </row>
    <row customHeight="1" ht="11.25" hidden="1">
      <c r="A17" s="589" t="s">
        <v>83</v>
      </c>
      <c r="B17" s="589">
        <v>0</v>
      </c>
      <c r="C17" s="589">
        <v>3</v>
      </c>
      <c r="D17" s="589">
        <v>4</v>
      </c>
      <c r="E17" s="589">
        <v>44</v>
      </c>
      <c r="F17" s="589">
        <v>6</v>
      </c>
      <c r="G17" s="589">
        <v>4</v>
      </c>
      <c r="H17" s="589">
        <v>5</v>
      </c>
      <c r="I17" s="589">
        <v>52</v>
      </c>
      <c r="J17" s="589">
        <v>6</v>
      </c>
      <c r="K17" s="589">
        <v>3</v>
      </c>
      <c r="L17" s="589">
        <v>6</v>
      </c>
      <c r="M17" s="589">
        <v>56</v>
      </c>
      <c r="N17" s="590">
        <v>8</v>
      </c>
      <c r="O17" s="1419">
        <v>0</v>
      </c>
      <c r="P17" s="1419">
        <v>0</v>
      </c>
      <c r="Q17" s="1419">
        <v>0</v>
      </c>
      <c r="R17" s="1419">
        <v>0</v>
      </c>
      <c r="S17" s="1419">
        <v>0</v>
      </c>
      <c r="T17" s="1419">
        <v>0</v>
      </c>
      <c r="U17" s="1269">
        <v>0</v>
      </c>
      <c r="V17" s="1269">
        <v>0</v>
      </c>
      <c r="W17" s="1269">
        <v>0</v>
      </c>
      <c r="X17" s="1269">
        <v>0</v>
      </c>
      <c r="Y17" s="590">
        <v>0</v>
      </c>
      <c r="Z17" s="590">
        <v>0</v>
      </c>
      <c r="AA17" s="590">
        <v>0</v>
      </c>
      <c r="AB17" s="590">
        <v>0</v>
      </c>
      <c r="AC17" s="590">
        <v>0</v>
      </c>
      <c r="AD17" s="590">
        <v>0</v>
      </c>
      <c r="AE17" s="590">
        <v>0</v>
      </c>
      <c r="AF17" s="590">
        <v>0</v>
      </c>
      <c r="AG17" s="590">
        <v>0</v>
      </c>
      <c r="AH17" s="590">
        <v>0</v>
      </c>
      <c r="AI17" s="590">
        <v>0</v>
      </c>
      <c r="AJ17" s="590">
        <v>0</v>
      </c>
      <c r="AK17" s="590">
        <v>0</v>
      </c>
      <c r="AL17" s="590">
        <v>8</v>
      </c>
      <c r="AM17" s="589">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46B205-C268-32CE-9369-D8EE8003FD94}"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25.7109375" hidden="1" customWidth="1"/>
    <col min="8" max="8" style="1641" width="33.7109375" hidden="1" customWidth="1"/>
    <col min="9" max="9" style="1641" width="25.7109375" customWidth="1"/>
    <col min="10" max="10" style="1641" width="33.00390625" customWidth="1"/>
    <col min="11" max="11" style="1372" width="93.00390625" customWidth="1"/>
    <col min="12" max="20" style="1641" width="10.00390625" customWidth="1"/>
    <col min="21" max="21" style="681" width="10.00390625" customWidth="1"/>
    <col min="22" max="22" style="1641" width="10.57421875" hidden="1"/>
  </cols>
  <sheetData>
    <row s="1372" customFormat="1" customHeight="1" ht="22.5" hidden="1">
      <c r="C1" s="678"/>
      <c r="G1" s="423">
        <v>4</v>
      </c>
      <c r="I1" s="423">
        <v>4</v>
      </c>
      <c r="U1" s="426"/>
      <c r="V1" s="423" t="s">
        <v>14</v>
      </c>
    </row>
    <row s="1372" customFormat="1" customHeight="1" ht="15" hidden="1">
      <c r="C2" s="678"/>
      <c r="U2" s="426"/>
      <c r="V2" s="423">
        <v>0</v>
      </c>
    </row>
    <row customHeight="1" ht="22.5" hidden="1">
      <c r="A3" s="511"/>
      <c r="B3" s="2403"/>
      <c r="C3" s="2404" t="s">
        <v>253</v>
      </c>
      <c r="D3" s="695" t="str">
        <f>B3&amp;".1"</f>
        <v>.1</v>
      </c>
      <c r="E3" s="696" t="s">
        <v>972</v>
      </c>
      <c r="F3" s="697" t="s">
        <v>322</v>
      </c>
      <c r="G3" s="692"/>
      <c r="H3" s="407"/>
      <c r="I3" s="692"/>
      <c r="J3" s="407"/>
      <c r="K3" s="295" t="s">
        <v>973</v>
      </c>
      <c r="V3" s="511">
        <v>0</v>
      </c>
    </row>
    <row customHeight="1" ht="15" hidden="1">
      <c r="A4" s="511"/>
      <c r="B4" s="2403"/>
      <c r="C4" s="2404"/>
      <c r="D4" s="695" t="str">
        <f>B3&amp;".2"</f>
        <v>.2</v>
      </c>
      <c r="E4" s="696" t="s">
        <v>974</v>
      </c>
      <c r="F4" s="697" t="s">
        <v>322</v>
      </c>
      <c r="G4" s="1744" t="s">
        <v>28</v>
      </c>
      <c r="H4" s="407"/>
      <c r="I4" s="1744" t="s">
        <v>28</v>
      </c>
      <c r="J4" s="407"/>
      <c r="K4" s="295" t="s">
        <v>975</v>
      </c>
      <c r="V4" s="511">
        <v>0</v>
      </c>
    </row>
    <row s="1372" customFormat="1" customHeight="1" ht="15" hidden="1">
      <c r="C5" s="678"/>
      <c r="U5" s="426"/>
      <c r="V5" s="423">
        <v>0</v>
      </c>
    </row>
    <row customHeight="1" ht="22.5" hidden="1">
      <c r="A6" s="511"/>
      <c r="B6" s="2403"/>
      <c r="C6" s="2404" t="s">
        <v>253</v>
      </c>
      <c r="D6" s="695" t="str">
        <f>B6&amp;".1"</f>
        <v>.1</v>
      </c>
      <c r="E6" s="696" t="s">
        <v>976</v>
      </c>
      <c r="F6" s="697" t="s">
        <v>322</v>
      </c>
      <c r="G6" s="692"/>
      <c r="H6" s="407"/>
      <c r="I6" s="692"/>
      <c r="J6" s="407"/>
      <c r="K6" s="295" t="s">
        <v>977</v>
      </c>
      <c r="V6" s="511">
        <v>0</v>
      </c>
    </row>
    <row customHeight="1" ht="15" hidden="1">
      <c r="A7" s="511"/>
      <c r="B7" s="2403"/>
      <c r="C7" s="2404"/>
      <c r="D7" s="695" t="str">
        <f>B6&amp;".2"</f>
        <v>.2</v>
      </c>
      <c r="E7" s="696" t="s">
        <v>974</v>
      </c>
      <c r="F7" s="697" t="s">
        <v>322</v>
      </c>
      <c r="G7" s="1744" t="s">
        <v>28</v>
      </c>
      <c r="H7" s="407"/>
      <c r="I7" s="1744" t="s">
        <v>28</v>
      </c>
      <c r="J7" s="407"/>
      <c r="K7" s="295" t="s">
        <v>975</v>
      </c>
      <c r="V7" s="511">
        <v>0</v>
      </c>
    </row>
    <row s="1372" customFormat="1" customHeight="1" ht="15" hidden="1">
      <c r="C8" s="678"/>
      <c r="U8" s="426"/>
      <c r="V8" s="423">
        <v>0</v>
      </c>
    </row>
    <row customHeight="1" ht="22.5" hidden="1">
      <c r="A9" s="511"/>
      <c r="B9" s="2403"/>
      <c r="C9" s="2404" t="s">
        <v>253</v>
      </c>
      <c r="D9" s="695" t="str">
        <f>B9&amp;".1"</f>
        <v>.1</v>
      </c>
      <c r="E9" s="696" t="s">
        <v>978</v>
      </c>
      <c r="F9" s="697" t="s">
        <v>322</v>
      </c>
      <c r="G9" s="703" t="s">
        <v>28</v>
      </c>
      <c r="H9" s="407" t="s">
        <v>28</v>
      </c>
      <c r="I9" s="703" t="s">
        <v>28</v>
      </c>
      <c r="J9" s="407" t="s">
        <v>28</v>
      </c>
      <c r="K9" s="295"/>
      <c r="V9" s="511">
        <v>0</v>
      </c>
    </row>
    <row customHeight="1" ht="15" hidden="1">
      <c r="A10" s="511"/>
      <c r="B10" s="2403"/>
      <c r="C10" s="2404"/>
      <c r="D10" s="695" t="str">
        <f>B9&amp;".2"</f>
        <v>.2</v>
      </c>
      <c r="E10" s="696" t="s">
        <v>979</v>
      </c>
      <c r="F10" s="697" t="s">
        <v>322</v>
      </c>
      <c r="G10" s="1738" t="s">
        <v>28</v>
      </c>
      <c r="H10" s="407" t="s">
        <v>28</v>
      </c>
      <c r="I10" s="1738" t="s">
        <v>28</v>
      </c>
      <c r="J10" s="407" t="s">
        <v>28</v>
      </c>
      <c r="K10" s="295" t="s">
        <v>980</v>
      </c>
      <c r="V10" s="511">
        <v>0</v>
      </c>
    </row>
    <row customHeight="1" ht="15" hidden="1">
      <c r="A11" s="511"/>
      <c r="B11" s="2403"/>
      <c r="C11" s="2404"/>
      <c r="D11" s="695" t="str">
        <f>B9&amp;".3"</f>
        <v>.3</v>
      </c>
      <c r="E11" s="696" t="s">
        <v>981</v>
      </c>
      <c r="F11" s="697" t="s">
        <v>322</v>
      </c>
      <c r="G11" s="1738" t="s">
        <v>28</v>
      </c>
      <c r="H11" s="407" t="s">
        <v>28</v>
      </c>
      <c r="I11" s="1738" t="s">
        <v>28</v>
      </c>
      <c r="J11" s="407" t="s">
        <v>28</v>
      </c>
      <c r="K11" s="295" t="s">
        <v>982</v>
      </c>
      <c r="V11" s="511">
        <v>0</v>
      </c>
    </row>
    <row s="1372" customFormat="1" customHeight="1" ht="15" hidden="1">
      <c r="C12" s="678"/>
      <c r="U12" s="426"/>
      <c r="V12" s="423">
        <v>0</v>
      </c>
    </row>
    <row customHeight="1" ht="33.75" hidden="1">
      <c r="A13" s="511"/>
      <c r="B13" s="2403"/>
      <c r="C13" s="2404" t="s">
        <v>253</v>
      </c>
      <c r="D13" s="695" t="str">
        <f>B13&amp;".1"</f>
        <v>.1</v>
      </c>
      <c r="E13" s="696" t="s">
        <v>983</v>
      </c>
      <c r="F13" s="697" t="s">
        <v>322</v>
      </c>
      <c r="G13" s="703" t="s">
        <v>28</v>
      </c>
      <c r="H13" s="407" t="s">
        <v>28</v>
      </c>
      <c r="I13" s="703" t="s">
        <v>28</v>
      </c>
      <c r="J13" s="407" t="s">
        <v>28</v>
      </c>
      <c r="K13" s="295" t="s">
        <v>984</v>
      </c>
      <c r="V13" s="511">
        <v>0</v>
      </c>
    </row>
    <row customHeight="1" ht="15" hidden="1">
      <c r="B14" s="2403"/>
      <c r="C14" s="2404"/>
      <c r="D14" s="695" t="str">
        <f>B13&amp;".2"</f>
        <v>.2</v>
      </c>
      <c r="E14" s="696" t="s">
        <v>985</v>
      </c>
      <c r="F14" s="697" t="s">
        <v>322</v>
      </c>
      <c r="G14" s="1738" t="s">
        <v>28</v>
      </c>
      <c r="H14" s="407" t="s">
        <v>28</v>
      </c>
      <c r="I14" s="1738" t="s">
        <v>28</v>
      </c>
      <c r="J14" s="407" t="s">
        <v>28</v>
      </c>
      <c r="K14" s="295" t="s">
        <v>986</v>
      </c>
      <c r="V14" s="511">
        <v>0</v>
      </c>
    </row>
    <row s="1372" customFormat="1" customHeight="1" ht="15" hidden="1">
      <c r="C15" s="678"/>
      <c r="U15" s="426"/>
      <c r="V15" s="423">
        <v>0</v>
      </c>
    </row>
    <row s="1372" customFormat="1" customHeight="1" ht="15" hidden="1">
      <c r="C16" s="678"/>
      <c r="U16" s="426"/>
      <c r="V16" s="423">
        <v>0</v>
      </c>
    </row>
    <row s="1372" customFormat="1" customHeight="1" ht="15" hidden="1">
      <c r="C17" s="678"/>
      <c r="U17" s="426"/>
      <c r="V17" s="423">
        <v>0</v>
      </c>
    </row>
    <row s="1372" customFormat="1" customHeight="1" ht="15" hidden="1">
      <c r="C18" s="678"/>
      <c r="U18" s="426"/>
      <c r="V18" s="423">
        <v>0</v>
      </c>
    </row>
    <row s="1372" customFormat="1" customHeight="1" ht="15" hidden="1">
      <c r="C19" s="678"/>
      <c r="U19" s="426"/>
      <c r="V19" s="423">
        <v>0</v>
      </c>
    </row>
    <row s="1372" customFormat="1" customHeight="1" ht="15" hidden="1">
      <c r="C20" s="678"/>
      <c r="U20" s="426"/>
      <c r="V20" s="423">
        <v>0</v>
      </c>
    </row>
    <row customHeight="1" ht="15.75">
      <c r="C21" s="182"/>
      <c r="D21" s="515"/>
      <c r="E21" s="515"/>
      <c r="F21" s="515"/>
      <c r="G21" s="515"/>
      <c r="H21" s="515"/>
      <c r="I21" s="515"/>
      <c r="J21" s="515"/>
      <c r="V21" s="511">
        <v>15</v>
      </c>
    </row>
    <row customHeight="1" ht="23.25">
      <c r="C22" s="182"/>
      <c r="D22" s="224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3"/>
      <c r="F22" s="2243"/>
      <c r="G22" s="2243"/>
      <c r="H22" s="2243"/>
      <c r="I22" s="2243"/>
      <c r="J22" s="682"/>
      <c r="K22" s="543"/>
      <c r="V22" s="511">
        <v>22</v>
      </c>
    </row>
    <row customHeight="1" ht="15.75">
      <c r="C23" s="182"/>
      <c r="D23" s="2182" t="str">
        <f>IF(org=0,"Не определено",org)</f>
        <v>АО «ДГК» СП «Нерюнгринская ГРЭС»</v>
      </c>
      <c r="E23" s="2182"/>
      <c r="F23" s="2182"/>
      <c r="G23" s="2182"/>
      <c r="H23" s="2182"/>
      <c r="I23" s="2182"/>
      <c r="J23" s="682"/>
      <c r="K23" s="543"/>
      <c r="V23" s="511">
        <v>15</v>
      </c>
    </row>
    <row customHeight="1" ht="15.75">
      <c r="C24" s="182"/>
      <c r="D24" s="515"/>
      <c r="E24" s="515"/>
      <c r="F24" s="515"/>
      <c r="G24" s="543">
        <v>22</v>
      </c>
      <c r="H24" s="758"/>
      <c r="I24" s="543">
        <v>22</v>
      </c>
      <c r="J24" s="758"/>
      <c r="V24" s="511">
        <v>15</v>
      </c>
    </row>
    <row s="1641" customFormat="1" customHeight="1" ht="1.05">
      <c r="A25" s="765"/>
      <c r="C25" s="182"/>
      <c r="D25" s="515"/>
      <c r="E25" s="515"/>
      <c r="F25" s="515"/>
      <c r="G25" s="543"/>
      <c r="H25" s="758"/>
      <c r="I25" s="543" t="s">
        <v>119</v>
      </c>
      <c r="J25" s="758"/>
      <c r="K25" s="423"/>
      <c r="U25" s="681"/>
      <c r="V25" s="764">
        <v>1</v>
      </c>
    </row>
    <row customHeight="1" ht="15.75">
      <c r="C26" s="182"/>
      <c r="D26" s="717"/>
      <c r="E26" s="2373" t="s">
        <v>107</v>
      </c>
      <c r="F26" s="2374"/>
      <c r="G26" s="2401" t="str">
        <f>IF(G25="","",INDEX(DIFFERENTIATION_UNMERGE_VD,MATCH(G25,DIFFERENTIATION_ID_DIFF,0)))</f>
        <v/>
      </c>
      <c r="H26" s="2402"/>
      <c r="I26" s="2401">
        <f>IF(I25="","",INDEX(DIFFERENTIATION_UNMERGE_VD,MATCH(I25,DIFFERENTIATION_ID_DIFF,0)))</f>
        <v>0</v>
      </c>
      <c r="J26" s="2402"/>
      <c r="K26" s="2181" t="s">
        <v>317</v>
      </c>
      <c r="V26" s="511">
        <v>15</v>
      </c>
    </row>
    <row s="1641" customFormat="1" customHeight="1" ht="15.75">
      <c r="A27" s="765"/>
      <c r="C27" s="182"/>
      <c r="D27" s="717"/>
      <c r="E27" s="2373" t="s">
        <v>601</v>
      </c>
      <c r="F27" s="2374"/>
      <c r="G27" s="2401" t="str">
        <f>IF(G25="","",INDEX(DIFFERENTIATION_UNMERGE_AREA,MATCH(G25,DIFFERENTIATION_ID_DIFF,0)))</f>
        <v/>
      </c>
      <c r="H27" s="2402"/>
      <c r="I27" s="2401" t="str">
        <f>IF(I25="","",INDEX(DIFFERENTIATION_UNMERGE_AREA,MATCH(I25,DIFFERENTIATION_ID_DIFF,0)))</f>
        <v/>
      </c>
      <c r="J27" s="2402"/>
      <c r="K27" s="2201"/>
      <c r="U27" s="681"/>
      <c r="V27" s="764">
        <v>15</v>
      </c>
    </row>
    <row s="1641" customFormat="1" customHeight="1" ht="15.75">
      <c r="A28" s="765"/>
      <c r="C28" s="182"/>
      <c r="D28" s="717"/>
      <c r="E28" s="2373" t="s">
        <v>602</v>
      </c>
      <c r="F28" s="2374"/>
      <c r="G28" s="2401" t="str">
        <f>IF(G25="","",INDEX(DIFFERENTIATION_UNMERGE_SYSTEM,MATCH(G25,DIFFERENTIATION_ID_DIFF,0)))</f>
        <v/>
      </c>
      <c r="H28" s="2402"/>
      <c r="I28" s="2401" t="str">
        <f>IF(I25="","",INDEX(DIFFERENTIATION_UNMERGE_SYSTEM,MATCH(I25,DIFFERENTIATION_ID_DIFF,0)))</f>
        <v>без дифференциации</v>
      </c>
      <c r="J28" s="2402"/>
      <c r="K28" s="2201"/>
      <c r="U28" s="681"/>
      <c r="V28" s="764">
        <v>15</v>
      </c>
    </row>
    <row s="1641" customFormat="1" customHeight="1" ht="15.75">
      <c r="A29" s="765"/>
      <c r="C29" s="182"/>
      <c r="D29" s="2375" t="s">
        <v>316</v>
      </c>
      <c r="E29" s="2376"/>
      <c r="F29" s="2376"/>
      <c r="G29" s="893"/>
      <c r="H29" s="893"/>
      <c r="I29" s="893"/>
      <c r="J29" s="894"/>
      <c r="K29" s="2201"/>
      <c r="U29" s="681"/>
      <c r="V29" s="764">
        <v>15</v>
      </c>
    </row>
    <row customHeight="1" ht="35.699999999999996">
      <c r="C30" s="182"/>
      <c r="D30" s="767" t="s">
        <v>89</v>
      </c>
      <c r="E30" s="766" t="s">
        <v>318</v>
      </c>
      <c r="F30" s="766" t="s">
        <v>603</v>
      </c>
      <c r="G30" s="814" t="s">
        <v>319</v>
      </c>
      <c r="H30" s="813" t="s">
        <v>406</v>
      </c>
      <c r="I30" s="690" t="s">
        <v>319</v>
      </c>
      <c r="J30" s="471" t="s">
        <v>406</v>
      </c>
      <c r="K30" s="2207"/>
      <c r="V30" s="511">
        <v>34</v>
      </c>
    </row>
    <row customHeight="1" ht="15" hidden="1">
      <c r="C31" s="182"/>
      <c r="D31" s="599"/>
      <c r="E31" s="599"/>
      <c r="F31" s="599"/>
      <c r="G31" s="665"/>
      <c r="H31" s="665"/>
      <c r="I31" s="665"/>
      <c r="J31" s="665"/>
      <c r="K31" s="295"/>
      <c r="V31" s="511">
        <v>0</v>
      </c>
    </row>
    <row customHeight="1" ht="24">
      <c r="A32" s="511"/>
      <c r="B32" s="511" t="s">
        <v>987</v>
      </c>
      <c r="C32" s="532"/>
      <c r="D32" s="698">
        <v>1</v>
      </c>
      <c r="E32" s="699" t="s">
        <v>988</v>
      </c>
      <c r="F32" s="697" t="s">
        <v>322</v>
      </c>
      <c r="G32" s="819" t="s">
        <v>322</v>
      </c>
      <c r="H32" s="819" t="s">
        <v>322</v>
      </c>
      <c r="I32" s="697" t="s">
        <v>322</v>
      </c>
      <c r="J32" s="697" t="s">
        <v>322</v>
      </c>
      <c r="K32" s="295"/>
      <c r="V32" s="511">
        <v>23</v>
      </c>
    </row>
    <row customHeight="1" ht="11.549999999999999">
      <c r="A33" s="511"/>
      <c r="C33" s="511"/>
      <c r="D33" s="353"/>
      <c r="E33" s="586" t="s">
        <v>623</v>
      </c>
      <c r="F33" s="578"/>
      <c r="G33" s="578"/>
      <c r="H33" s="578"/>
      <c r="I33" s="578"/>
      <c r="J33" s="578"/>
      <c r="K33" s="579"/>
      <c r="U33" s="511"/>
      <c r="V33" s="511">
        <v>11</v>
      </c>
    </row>
    <row customHeight="1" ht="24">
      <c r="A34" s="511"/>
      <c r="B34" s="587" t="s">
        <v>673</v>
      </c>
      <c r="C34" s="532"/>
      <c r="D34" s="698">
        <v>2</v>
      </c>
      <c r="E34" s="699" t="s">
        <v>989</v>
      </c>
      <c r="F34" s="826" t="s">
        <v>322</v>
      </c>
      <c r="G34" s="826" t="s">
        <v>322</v>
      </c>
      <c r="H34" s="826" t="s">
        <v>322</v>
      </c>
      <c r="I34" s="697"/>
      <c r="J34" s="697"/>
      <c r="K34" s="295"/>
      <c r="V34" s="511">
        <v>23</v>
      </c>
    </row>
    <row customHeight="1" ht="11.549999999999999">
      <c r="A35" s="511"/>
      <c r="C35" s="511"/>
      <c r="D35" s="353"/>
      <c r="E35" s="586" t="s">
        <v>990</v>
      </c>
      <c r="F35" s="578"/>
      <c r="G35" s="700"/>
      <c r="H35" s="578"/>
      <c r="I35" s="700"/>
      <c r="J35" s="578"/>
      <c r="K35" s="579"/>
      <c r="U35" s="511"/>
      <c r="V35" s="511">
        <v>11</v>
      </c>
    </row>
    <row customHeight="1" ht="71.25">
      <c r="A36" s="511"/>
      <c r="B36" s="511" t="s">
        <v>991</v>
      </c>
      <c r="C36" s="532"/>
      <c r="D36" s="698">
        <v>3</v>
      </c>
      <c r="E36" s="699" t="s">
        <v>992</v>
      </c>
      <c r="F36" s="701" t="s">
        <v>322</v>
      </c>
      <c r="G36" s="820" t="s">
        <v>993</v>
      </c>
      <c r="H36" s="819" t="s">
        <v>322</v>
      </c>
      <c r="I36" s="530" t="s">
        <v>993</v>
      </c>
      <c r="J36" s="697" t="s">
        <v>322</v>
      </c>
      <c r="K36" s="295" t="s">
        <v>994</v>
      </c>
      <c r="V36" s="511">
        <v>68</v>
      </c>
    </row>
    <row customHeight="1" ht="11.549999999999999">
      <c r="A37" s="511"/>
      <c r="C37" s="511"/>
      <c r="D37" s="353"/>
      <c r="E37" s="586" t="s">
        <v>995</v>
      </c>
      <c r="F37" s="578"/>
      <c r="G37" s="700"/>
      <c r="H37" s="700"/>
      <c r="I37" s="700"/>
      <c r="J37" s="700"/>
      <c r="K37" s="579"/>
      <c r="U37" s="511"/>
      <c r="V37" s="511">
        <v>11</v>
      </c>
    </row>
    <row customHeight="1" ht="71.25">
      <c r="A38" s="511"/>
      <c r="B38" s="511" t="s">
        <v>996</v>
      </c>
      <c r="C38" s="532"/>
      <c r="D38" s="698">
        <v>4</v>
      </c>
      <c r="E38" s="699" t="s">
        <v>997</v>
      </c>
      <c r="F38" s="701" t="s">
        <v>322</v>
      </c>
      <c r="G38" s="820" t="s">
        <v>993</v>
      </c>
      <c r="H38" s="821" t="s">
        <v>322</v>
      </c>
      <c r="I38" s="530" t="s">
        <v>993</v>
      </c>
      <c r="J38" s="527" t="s">
        <v>322</v>
      </c>
      <c r="K38" s="685" t="s">
        <v>998</v>
      </c>
      <c r="V38" s="511">
        <v>68</v>
      </c>
    </row>
    <row customHeight="1" ht="11.549999999999999">
      <c r="A39" s="511"/>
      <c r="C39" s="511"/>
      <c r="D39" s="353"/>
      <c r="E39" s="586" t="s">
        <v>999</v>
      </c>
      <c r="F39" s="578"/>
      <c r="G39" s="578"/>
      <c r="H39" s="702"/>
      <c r="I39" s="578"/>
      <c r="J39" s="702"/>
      <c r="K39" s="579"/>
      <c r="U39" s="511"/>
      <c r="V39" s="511">
        <v>11</v>
      </c>
    </row>
    <row customHeight="1" ht="22.5" hidden="1">
      <c r="A40" s="455" t="s">
        <v>83</v>
      </c>
      <c r="B40" s="511">
        <v>0</v>
      </c>
      <c r="C40" s="689">
        <v>4</v>
      </c>
      <c r="D40" s="511">
        <v>6</v>
      </c>
      <c r="E40" s="511">
        <v>36</v>
      </c>
      <c r="F40" s="511">
        <v>9</v>
      </c>
      <c r="G40" s="764">
        <v>0</v>
      </c>
      <c r="H40" s="764">
        <v>0</v>
      </c>
      <c r="I40" s="511">
        <v>25</v>
      </c>
      <c r="J40" s="511">
        <v>33</v>
      </c>
      <c r="K40" s="423">
        <v>93</v>
      </c>
      <c r="L40" s="511">
        <v>10</v>
      </c>
      <c r="M40" s="511">
        <v>10</v>
      </c>
      <c r="N40" s="511">
        <v>10</v>
      </c>
      <c r="O40" s="511">
        <v>10</v>
      </c>
      <c r="P40" s="511">
        <v>10</v>
      </c>
      <c r="Q40" s="511">
        <v>10</v>
      </c>
      <c r="R40" s="511">
        <v>10</v>
      </c>
      <c r="S40" s="511">
        <v>10</v>
      </c>
      <c r="T40" s="511">
        <v>10</v>
      </c>
      <c r="U40" s="681">
        <v>10</v>
      </c>
      <c r="V40" s="511">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E79EF5-61C2-3D1B-C79C-5568CBE86A0E}"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72" width="6.7109375" hidden="1" customWidth="1"/>
    <col min="4" max="4" style="1372" width="6.7109375" hidden="1" customWidth="1"/>
    <col min="5" max="5" style="1641" width="3.00390625" customWidth="1"/>
    <col min="6" max="6" style="1641" width="6.00390625" customWidth="1"/>
    <col min="7" max="7" style="1641" width="37.00390625" customWidth="1"/>
    <col min="8" max="8" style="1641" width="16.00390625" customWidth="1"/>
    <col min="9" max="10" style="1641" width="19.00390625" customWidth="1"/>
    <col min="11" max="11" style="1641" width="24.00390625" customWidth="1"/>
    <col min="12" max="13" style="1641" width="25.00390625" customWidth="1"/>
    <col min="14" max="16" style="1641" width="17.00390625" customWidth="1"/>
    <col min="17" max="24" style="1641" width="19.00390625" customWidth="1"/>
    <col min="25" max="25" style="1641" width="7.00390625" customWidth="1"/>
    <col min="26" max="26" style="1641" width="3.00390625" customWidth="1"/>
    <col min="27" max="27" style="1641" width="6.00390625" customWidth="1"/>
    <col min="28" max="28" style="1641" width="34.00390625" customWidth="1"/>
    <col min="29" max="30" style="1641" width="8.00390625" customWidth="1"/>
    <col min="31" max="31" style="1641" width="9.140625" hidden="1"/>
  </cols>
  <sheetData>
    <row s="1372" customFormat="1" customHeight="1" ht="10.5" hidden="1">
      <c r="A1" s="901"/>
      <c r="B1" s="901"/>
      <c r="C1" s="901"/>
      <c r="E1" s="543"/>
      <c r="H1" s="1166"/>
      <c r="AE1" s="423" t="s">
        <v>14</v>
      </c>
    </row>
    <row customHeight="1" ht="10.5" hidden="1">
      <c r="AE2" s="764">
        <v>0</v>
      </c>
    </row>
    <row s="1638" customFormat="1" customHeight="1" ht="10.5" hidden="1">
      <c r="A3" s="901"/>
      <c r="B3" s="901"/>
      <c r="C3" s="901"/>
      <c r="D3" s="423"/>
      <c r="E3" s="368"/>
      <c r="G3" s="1638" t="s">
        <v>1000</v>
      </c>
      <c r="H3" s="1162"/>
      <c r="AE3" s="765">
        <v>0</v>
      </c>
    </row>
    <row customHeight="1" ht="3">
      <c r="AE4" s="764">
        <v>3</v>
      </c>
    </row>
    <row customHeight="1" ht="27.299999999999997">
      <c r="F5" s="2254" t="str">
        <f>IP_NAME_FORM</f>
        <v>Форма 7. Информация об инвестиционных программах организации холодного водоснабжения и отчетах об их исполнении</v>
      </c>
      <c r="G5" s="2254"/>
      <c r="H5" s="2254"/>
      <c r="I5" s="2254"/>
      <c r="J5" s="2254"/>
      <c r="K5" s="2254"/>
      <c r="M5" s="588"/>
      <c r="AB5" s="912"/>
      <c r="AE5" s="764">
        <v>26</v>
      </c>
    </row>
    <row s="1641" customFormat="1" customHeight="1" ht="16.8">
      <c r="A6" s="1172"/>
      <c r="B6" s="1172"/>
      <c r="C6" s="1172"/>
      <c r="D6" s="1166"/>
      <c r="E6" s="1641"/>
      <c r="F6" s="2255" t="str">
        <f>IF(org=0,"Не определено",org)</f>
        <v>АО «ДГК» СП «Нерюнгринская ГРЭС»</v>
      </c>
      <c r="G6" s="2255"/>
      <c r="H6" s="2255"/>
      <c r="I6" s="2255"/>
      <c r="J6" s="2255"/>
      <c r="K6" s="2255"/>
      <c r="M6" s="588"/>
      <c r="AB6" s="1154"/>
      <c r="AE6" s="1637">
        <v>16</v>
      </c>
    </row>
    <row customHeight="1" ht="10.5">
      <c r="AE7" s="764">
        <v>10</v>
      </c>
    </row>
    <row customHeight="1" ht="10.5">
      <c r="A8" s="1057"/>
      <c r="B8" s="1057"/>
      <c r="C8" s="1057"/>
      <c r="F8" s="2107" t="s">
        <v>316</v>
      </c>
      <c r="G8" s="2108"/>
      <c r="H8" s="2108"/>
      <c r="I8" s="2108"/>
      <c r="J8" s="2108"/>
      <c r="K8" s="2108"/>
      <c r="L8" s="2108"/>
      <c r="M8" s="2108"/>
      <c r="N8" s="2108"/>
      <c r="O8" s="2108"/>
      <c r="P8" s="2108"/>
      <c r="Q8" s="2108"/>
      <c r="R8" s="2108"/>
      <c r="S8" s="2108"/>
      <c r="T8" s="2108"/>
      <c r="U8" s="2108"/>
      <c r="V8" s="2108"/>
      <c r="W8" s="2108"/>
      <c r="X8" s="2108"/>
      <c r="Y8" s="2108"/>
      <c r="Z8" s="2108"/>
      <c r="AA8" s="2108"/>
      <c r="AB8" s="2109"/>
      <c r="AE8" s="764">
        <v>10</v>
      </c>
    </row>
    <row customHeight="1" ht="43.050000000000004">
      <c r="A9" s="911"/>
      <c r="B9" s="911"/>
      <c r="C9" s="911"/>
      <c r="F9" s="2133" t="s">
        <v>89</v>
      </c>
      <c r="G9" s="2133" t="s">
        <v>1000</v>
      </c>
      <c r="H9" s="2181" t="s">
        <v>1001</v>
      </c>
      <c r="I9" s="2133" t="s">
        <v>1002</v>
      </c>
      <c r="J9" s="2133" t="s">
        <v>1003</v>
      </c>
      <c r="K9" s="2133" t="s">
        <v>1004</v>
      </c>
      <c r="L9" s="2133" t="s">
        <v>1005</v>
      </c>
      <c r="M9" s="2133" t="s">
        <v>1006</v>
      </c>
      <c r="N9" s="2215" t="s">
        <v>1007</v>
      </c>
      <c r="O9" s="2215"/>
      <c r="P9" s="2215"/>
      <c r="Q9" s="2405" t="s">
        <v>1008</v>
      </c>
      <c r="R9" s="2406"/>
      <c r="S9" s="2406"/>
      <c r="T9" s="2407"/>
      <c r="U9" s="2405" t="s">
        <v>1009</v>
      </c>
      <c r="V9" s="2406"/>
      <c r="W9" s="2406"/>
      <c r="X9" s="2407"/>
      <c r="Y9" s="2107" t="s">
        <v>1010</v>
      </c>
      <c r="Z9" s="2108"/>
      <c r="AA9" s="2108"/>
      <c r="AB9" s="2109"/>
      <c r="AE9" s="764">
        <v>41</v>
      </c>
    </row>
    <row customHeight="1" ht="43.050000000000004">
      <c r="A10" s="911"/>
      <c r="B10" s="911"/>
      <c r="C10" s="911"/>
      <c r="F10" s="2181"/>
      <c r="G10" s="2181"/>
      <c r="H10" s="2238"/>
      <c r="I10" s="2181"/>
      <c r="J10" s="2181"/>
      <c r="K10" s="2181"/>
      <c r="L10" s="2181"/>
      <c r="M10" s="2181"/>
      <c r="N10" s="909" t="s">
        <v>1011</v>
      </c>
      <c r="O10" s="909" t="s">
        <v>1012</v>
      </c>
      <c r="P10" s="910" t="s">
        <v>1013</v>
      </c>
      <c r="Q10" s="921" t="s">
        <v>90</v>
      </c>
      <c r="R10" s="921" t="s">
        <v>1014</v>
      </c>
      <c r="S10" s="921" t="s">
        <v>1015</v>
      </c>
      <c r="T10" s="922" t="s">
        <v>1016</v>
      </c>
      <c r="U10" s="921" t="s">
        <v>90</v>
      </c>
      <c r="V10" s="921" t="s">
        <v>1017</v>
      </c>
      <c r="W10" s="921" t="s">
        <v>1015</v>
      </c>
      <c r="X10" s="922" t="s">
        <v>1016</v>
      </c>
      <c r="Y10" s="307" t="s">
        <v>1018</v>
      </c>
      <c r="Z10" s="2107" t="s">
        <v>89</v>
      </c>
      <c r="AA10" s="2109"/>
      <c r="AB10" s="1055" t="s">
        <v>1019</v>
      </c>
      <c r="AE10" s="764">
        <v>41</v>
      </c>
    </row>
    <row s="1648" customFormat="1" customHeight="1" ht="5.25" hidden="1">
      <c r="A11" s="1058"/>
      <c r="B11" s="1058"/>
      <c r="C11" s="1058"/>
      <c r="E11" s="1056"/>
      <c r="F11" s="2412" t="s">
        <v>392</v>
      </c>
      <c r="G11" s="2409"/>
      <c r="H11" s="2408"/>
      <c r="I11" s="2408"/>
      <c r="J11" s="2408"/>
      <c r="K11" s="2410"/>
      <c r="L11" s="2410"/>
      <c r="M11" s="2410"/>
      <c r="N11" s="2408"/>
      <c r="O11" s="2408"/>
      <c r="P11" s="2133"/>
      <c r="Q11" s="2185"/>
      <c r="R11" s="2185"/>
      <c r="S11" s="2185"/>
      <c r="T11" s="2408"/>
      <c r="U11" s="2185"/>
      <c r="V11" s="2185"/>
      <c r="W11" s="2185"/>
      <c r="X11" s="2408"/>
      <c r="Y11" s="2114"/>
      <c r="Z11" s="2114"/>
      <c r="AA11" s="2114"/>
      <c r="AB11" s="2114"/>
      <c r="AD11" s="517" t="s">
        <v>1020</v>
      </c>
      <c r="AE11" s="517">
        <v>0</v>
      </c>
    </row>
    <row s="1648" customFormat="1" customHeight="1" ht="5.25" hidden="1">
      <c r="A12" s="902"/>
      <c r="B12" s="902"/>
      <c r="C12" s="902"/>
      <c r="E12" s="524"/>
      <c r="F12" s="2412"/>
      <c r="G12" s="2409"/>
      <c r="H12" s="2408"/>
      <c r="I12" s="2408"/>
      <c r="J12" s="2408"/>
      <c r="K12" s="2410"/>
      <c r="L12" s="2410"/>
      <c r="M12" s="2410"/>
      <c r="N12" s="2408"/>
      <c r="O12" s="2408"/>
      <c r="P12" s="2133"/>
      <c r="Q12" s="2185"/>
      <c r="R12" s="2185"/>
      <c r="S12" s="2185"/>
      <c r="T12" s="2408"/>
      <c r="U12" s="2185"/>
      <c r="V12" s="2185"/>
      <c r="W12" s="2185"/>
      <c r="X12" s="2408"/>
      <c r="Y12" s="2411"/>
      <c r="Z12" s="2411"/>
      <c r="AA12" s="2411"/>
      <c r="AB12" s="2411"/>
      <c r="AE12" s="517">
        <v>0</v>
      </c>
    </row>
    <row customHeight="1" ht="10.5">
      <c r="F13" s="908"/>
      <c r="G13" s="656" t="s">
        <v>1021</v>
      </c>
      <c r="H13" s="1174"/>
      <c r="I13" s="578"/>
      <c r="J13" s="578"/>
      <c r="K13" s="578"/>
      <c r="L13" s="578"/>
      <c r="M13" s="578"/>
      <c r="N13" s="578"/>
      <c r="O13" s="578"/>
      <c r="P13" s="578"/>
      <c r="Q13" s="578"/>
      <c r="R13" s="578"/>
      <c r="S13" s="578"/>
      <c r="T13" s="578"/>
      <c r="U13" s="578"/>
      <c r="V13" s="578"/>
      <c r="W13" s="578"/>
      <c r="X13" s="578"/>
      <c r="Y13" s="578"/>
      <c r="Z13" s="702"/>
      <c r="AA13" s="702"/>
      <c r="AB13" s="923"/>
      <c r="AE13" s="764">
        <v>10</v>
      </c>
    </row>
    <row customHeight="1" ht="10.5">
      <c r="AE14" s="764">
        <v>10</v>
      </c>
    </row>
    <row s="1648" customFormat="1" customHeight="1" ht="10.5">
      <c r="A15" s="1173"/>
      <c r="B15" s="1173"/>
      <c r="C15" s="1173"/>
      <c r="E15" s="524"/>
      <c r="H15" s="517">
        <f>_xlfn.IFERROR(MATCH("нет",IP_MAIN_DIFFERENTIATION_EVENTS_FLAG,0),0)</f>
        <v>0</v>
      </c>
      <c r="AE15" s="517">
        <v>10</v>
      </c>
    </row>
    <row customHeight="1" ht="10.5" hidden="1">
      <c r="A16" s="901" t="s">
        <v>83</v>
      </c>
      <c r="B16" s="901">
        <v>0</v>
      </c>
      <c r="C16" s="901">
        <v>0</v>
      </c>
      <c r="D16" s="423">
        <v>0</v>
      </c>
      <c r="E16" s="515">
        <v>3</v>
      </c>
      <c r="F16" s="764">
        <v>6</v>
      </c>
      <c r="G16" s="764">
        <v>37</v>
      </c>
      <c r="H16" s="1161">
        <v>16</v>
      </c>
      <c r="I16" s="764">
        <v>19</v>
      </c>
      <c r="J16" s="764">
        <v>19</v>
      </c>
      <c r="K16" s="764">
        <v>24</v>
      </c>
      <c r="L16" s="764">
        <v>25</v>
      </c>
      <c r="M16" s="764">
        <v>25</v>
      </c>
      <c r="N16" s="764">
        <v>17</v>
      </c>
      <c r="O16" s="764">
        <v>17</v>
      </c>
      <c r="P16" s="764">
        <v>17</v>
      </c>
      <c r="Q16" s="764">
        <v>19</v>
      </c>
      <c r="R16" s="764">
        <v>19</v>
      </c>
      <c r="S16" s="764">
        <v>19</v>
      </c>
      <c r="T16" s="764">
        <v>19</v>
      </c>
      <c r="U16" s="764">
        <v>19</v>
      </c>
      <c r="V16" s="764">
        <v>19</v>
      </c>
      <c r="W16" s="764">
        <v>19</v>
      </c>
      <c r="X16" s="764">
        <v>19</v>
      </c>
      <c r="Y16" s="764">
        <v>7</v>
      </c>
      <c r="Z16" s="764">
        <v>3</v>
      </c>
      <c r="AA16" s="764">
        <v>6</v>
      </c>
      <c r="AB16" s="764">
        <v>34</v>
      </c>
      <c r="AC16" s="764">
        <v>8</v>
      </c>
      <c r="AD16" s="764">
        <v>8</v>
      </c>
      <c r="AE16" s="764">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C1B88-8E59-A0F2-2696-3A5785A52DD9}"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14.00390625" customWidth="1"/>
    <col min="7" max="7" style="1641" width="3.00390625" customWidth="1"/>
    <col min="8" max="8" style="1641" width="7.00390625" customWidth="1"/>
    <col min="9" max="10" style="1641" width="16.00390625" customWidth="1"/>
    <col min="11" max="11" style="1641" width="25.00390625" customWidth="1"/>
    <col min="12" max="12" style="1641" width="7.00390625" customWidth="1"/>
    <col min="13" max="13" style="1641" width="15.00390625" customWidth="1"/>
    <col min="14" max="14" style="1641" width="3.00390625" customWidth="1"/>
    <col min="15" max="15" style="1641" width="4.00390625" customWidth="1"/>
    <col min="16" max="16" style="1641" width="8.00390625" customWidth="1"/>
    <col min="17" max="17" style="1641" width="21.00390625" customWidth="1"/>
    <col min="18" max="18" style="1641" width="14.00390625" customWidth="1"/>
    <col min="19" max="20" style="1641" width="17.00390625" customWidth="1"/>
    <col min="21" max="21" style="1641" width="9.00390625" customWidth="1"/>
    <col min="22" max="22" style="1641" width="12.00390625" customWidth="1"/>
    <col min="23" max="23" style="1641" width="9.00390625" customWidth="1"/>
    <col min="24" max="24" style="1641" width="21.00390625" customWidth="1"/>
    <col min="25" max="25" style="1641" width="12.00390625" customWidth="1"/>
    <col min="26" max="26" style="1641" width="3.00390625" customWidth="1"/>
    <col min="27" max="27" style="1641" width="6.00390625" customWidth="1"/>
    <col min="28" max="28" style="1641" width="38.00390625" customWidth="1"/>
    <col min="29" max="29" style="1641" width="15.00390625" customWidth="1"/>
    <col min="30" max="30" style="1641" width="37.57421875" hidden="1" customWidth="1"/>
    <col min="31" max="31" style="1641" width="15.7109375" hidden="1" customWidth="1"/>
    <col min="32" max="34" style="1641" width="16.00390625" customWidth="1"/>
    <col min="35" max="37" style="1641" width="16.7109375" hidden="1" customWidth="1"/>
    <col min="38" max="58" style="1641" width="8.00390625" customWidth="1"/>
    <col min="59" max="59" style="1641" width="9.140625" hidden="1"/>
  </cols>
  <sheetData>
    <row s="1372" customFormat="1" customHeight="1" ht="10.5" hidden="1">
      <c r="A1" s="901"/>
      <c r="B1" s="901"/>
      <c r="C1" s="901"/>
      <c r="E1" s="543"/>
      <c r="H1" s="1166"/>
      <c r="L1" s="1134"/>
      <c r="M1" s="1134"/>
      <c r="AD1" s="1134"/>
      <c r="AH1" s="1153"/>
      <c r="AI1" s="1146"/>
      <c r="BG1" s="423" t="s">
        <v>14</v>
      </c>
    </row>
    <row customHeight="1" ht="10.5" hidden="1">
      <c r="BG2" s="764">
        <v>0</v>
      </c>
    </row>
    <row s="1638" customFormat="1" customHeight="1" ht="10.5" hidden="1">
      <c r="A3" s="901"/>
      <c r="B3" s="901"/>
      <c r="C3" s="901"/>
      <c r="D3" s="423"/>
      <c r="E3" s="368"/>
      <c r="H3" s="1162"/>
      <c r="L3" s="1132"/>
      <c r="M3" s="1132"/>
      <c r="AD3" s="1132"/>
      <c r="AH3" s="1151"/>
      <c r="AI3" s="1144"/>
      <c r="BG3" s="765">
        <v>0</v>
      </c>
    </row>
    <row customHeight="1" ht="3">
      <c r="BG4" s="764">
        <v>3</v>
      </c>
    </row>
    <row customHeight="1" ht="27.299999999999997">
      <c r="F5" s="2254" t="str">
        <f>IP_NAME_FORM</f>
        <v>Форма 7. Информация об инвестиционных программах организации холодного водоснабжения и отчетах об их исполнении</v>
      </c>
      <c r="G5" s="2254"/>
      <c r="H5" s="2254"/>
      <c r="I5" s="2254"/>
      <c r="J5" s="2254"/>
      <c r="K5" s="2254"/>
      <c r="L5" s="1141"/>
      <c r="M5" s="1141"/>
      <c r="AG5" s="912"/>
      <c r="AH5" s="1154"/>
      <c r="BG5" s="764">
        <v>26</v>
      </c>
    </row>
    <row customHeight="1" ht="10.5">
      <c r="F6" s="2182" t="str">
        <f>IF(org=0,"Не определено",org)</f>
        <v>АО «ДГК» СП «Нерюнгринская ГРЭС»</v>
      </c>
      <c r="G6" s="2182"/>
      <c r="H6" s="2182"/>
      <c r="I6" s="2182"/>
      <c r="J6" s="2182"/>
      <c r="K6" s="2182"/>
      <c r="L6" s="1142"/>
      <c r="M6" s="1142"/>
      <c r="BG6" s="764">
        <v>10</v>
      </c>
    </row>
    <row customHeight="1" ht="11.549999999999999">
      <c r="E7" s="914"/>
      <c r="F7" s="925"/>
      <c r="G7" s="925"/>
      <c r="H7" s="1190"/>
      <c r="I7" s="925"/>
      <c r="J7" s="925"/>
      <c r="K7" s="927"/>
      <c r="L7" s="1139"/>
      <c r="M7" s="1139"/>
      <c r="N7" s="925"/>
      <c r="O7" s="925"/>
      <c r="P7" s="925"/>
      <c r="Q7" s="927"/>
      <c r="R7" s="925"/>
      <c r="S7" s="925"/>
      <c r="T7" s="925"/>
      <c r="U7" s="925"/>
      <c r="V7" s="925"/>
      <c r="W7" s="925"/>
      <c r="X7" s="925"/>
      <c r="Y7" s="925"/>
      <c r="Z7" s="925"/>
      <c r="AA7" s="925"/>
      <c r="AB7" s="925"/>
      <c r="AC7" s="926"/>
      <c r="AD7" s="1138"/>
      <c r="AE7" s="926"/>
      <c r="AF7" s="925"/>
      <c r="AG7" s="925"/>
      <c r="AH7" s="1156"/>
      <c r="AI7" s="1149"/>
      <c r="AJ7" s="925"/>
      <c r="AK7" s="925"/>
      <c r="AL7" s="916"/>
      <c r="AM7" s="916"/>
      <c r="AN7" s="916"/>
      <c r="AO7" s="913"/>
      <c r="AP7" s="913"/>
      <c r="AQ7" s="913"/>
      <c r="AR7" s="913"/>
      <c r="AS7" s="913"/>
      <c r="AT7" s="913"/>
      <c r="AU7" s="913"/>
      <c r="AV7" s="913"/>
      <c r="AW7" s="913"/>
      <c r="AX7" s="913"/>
      <c r="AY7" s="913"/>
      <c r="AZ7" s="913"/>
      <c r="BA7" s="913"/>
      <c r="BB7" s="913"/>
      <c r="BC7" s="913"/>
      <c r="BD7" s="913"/>
      <c r="BE7" s="913"/>
      <c r="BF7" s="913"/>
      <c r="BG7" s="764">
        <v>11</v>
      </c>
    </row>
    <row customHeight="1" ht="10.5">
      <c r="E8" s="914"/>
      <c r="F8" s="2421" t="s">
        <v>316</v>
      </c>
      <c r="G8" s="2422"/>
      <c r="H8" s="2422"/>
      <c r="I8" s="2422"/>
      <c r="J8" s="2422"/>
      <c r="K8" s="2422"/>
      <c r="L8" s="2422"/>
      <c r="M8" s="2422"/>
      <c r="N8" s="2422"/>
      <c r="O8" s="2422"/>
      <c r="P8" s="2422"/>
      <c r="Q8" s="2422"/>
      <c r="R8" s="2422"/>
      <c r="S8" s="2422"/>
      <c r="T8" s="2422"/>
      <c r="U8" s="2422"/>
      <c r="V8" s="2422"/>
      <c r="W8" s="2422"/>
      <c r="X8" s="2422"/>
      <c r="Y8" s="2422"/>
      <c r="Z8" s="2422"/>
      <c r="AA8" s="2422"/>
      <c r="AB8" s="2422"/>
      <c r="AC8" s="2422"/>
      <c r="AD8" s="2422"/>
      <c r="AE8" s="2422"/>
      <c r="AF8" s="2422"/>
      <c r="AG8" s="2422"/>
      <c r="AH8" s="2422"/>
      <c r="AI8" s="2422"/>
      <c r="AJ8" s="2422"/>
      <c r="AK8" s="2423"/>
      <c r="AL8" s="915"/>
      <c r="AM8" s="913"/>
      <c r="AN8" s="913"/>
      <c r="AO8" s="913"/>
      <c r="AP8" s="913"/>
      <c r="AQ8" s="913"/>
      <c r="AR8" s="913"/>
      <c r="AS8" s="913"/>
      <c r="AT8" s="913"/>
      <c r="AU8" s="913"/>
      <c r="AV8" s="913"/>
      <c r="AW8" s="913"/>
      <c r="AX8" s="913"/>
      <c r="AY8" s="913"/>
      <c r="AZ8" s="913"/>
      <c r="BA8" s="913"/>
      <c r="BB8" s="913"/>
      <c r="BC8" s="913"/>
      <c r="BD8" s="913"/>
      <c r="BE8" s="913"/>
      <c r="BF8" s="913"/>
      <c r="BG8" s="764">
        <v>10</v>
      </c>
    </row>
    <row customHeight="1" ht="24">
      <c r="A9" s="911"/>
      <c r="B9" s="911"/>
      <c r="C9" s="911"/>
      <c r="E9" s="914"/>
      <c r="F9" s="2414" t="s">
        <v>1022</v>
      </c>
      <c r="G9" s="2415" t="s">
        <v>1023</v>
      </c>
      <c r="H9" s="2416"/>
      <c r="I9" s="2133" t="s">
        <v>1024</v>
      </c>
      <c r="J9" s="2133"/>
      <c r="K9" s="2133" t="s">
        <v>1025</v>
      </c>
      <c r="L9" s="2133"/>
      <c r="M9" s="2133"/>
      <c r="N9" s="2133"/>
      <c r="O9" s="2133"/>
      <c r="P9" s="2133"/>
      <c r="Q9" s="2133"/>
      <c r="R9" s="2133"/>
      <c r="S9" s="2133"/>
      <c r="T9" s="2133"/>
      <c r="U9" s="2133"/>
      <c r="V9" s="2133"/>
      <c r="W9" s="2133"/>
      <c r="X9" s="2133"/>
      <c r="Y9" s="2133"/>
      <c r="Z9" s="2198" t="s">
        <v>1026</v>
      </c>
      <c r="AA9" s="2199"/>
      <c r="AB9" s="2133" t="s">
        <v>1027</v>
      </c>
      <c r="AC9" s="2133"/>
      <c r="AD9" s="2133"/>
      <c r="AE9" s="2133"/>
      <c r="AF9" s="2181" t="s">
        <v>1028</v>
      </c>
      <c r="AG9" s="2133" t="s">
        <v>1029</v>
      </c>
      <c r="AH9" s="2133"/>
      <c r="AI9" s="2181" t="s">
        <v>1030</v>
      </c>
      <c r="AJ9" s="2133" t="s">
        <v>1031</v>
      </c>
      <c r="AK9" s="2133"/>
      <c r="AL9" s="1148"/>
      <c r="AM9" s="913"/>
      <c r="AN9" s="913"/>
      <c r="AO9" s="913"/>
      <c r="AP9" s="913"/>
      <c r="AQ9" s="913"/>
      <c r="AR9" s="913"/>
      <c r="AS9" s="913"/>
      <c r="AT9" s="913"/>
      <c r="AU9" s="913"/>
      <c r="AV9" s="913"/>
      <c r="AW9" s="913"/>
      <c r="AX9" s="913"/>
      <c r="AY9" s="913"/>
      <c r="AZ9" s="913"/>
      <c r="BA9" s="913"/>
      <c r="BB9" s="913"/>
      <c r="BC9" s="913"/>
      <c r="BD9" s="913"/>
      <c r="BE9" s="913"/>
      <c r="BF9" s="913"/>
      <c r="BG9" s="764">
        <v>23</v>
      </c>
    </row>
    <row customHeight="1" ht="25.2">
      <c r="A10" s="911"/>
      <c r="B10" s="911"/>
      <c r="C10" s="911"/>
      <c r="E10" s="918"/>
      <c r="F10" s="2414"/>
      <c r="G10" s="2417"/>
      <c r="H10" s="2418"/>
      <c r="I10" s="2133"/>
      <c r="J10" s="2133"/>
      <c r="K10" s="2133" t="s">
        <v>1032</v>
      </c>
      <c r="L10" s="2107" t="s">
        <v>1033</v>
      </c>
      <c r="M10" s="2109"/>
      <c r="N10" s="2133" t="s">
        <v>1034</v>
      </c>
      <c r="O10" s="2133"/>
      <c r="P10" s="2133"/>
      <c r="Q10" s="2133"/>
      <c r="R10" s="2133"/>
      <c r="S10" s="2133"/>
      <c r="T10" s="2133"/>
      <c r="U10" s="2133"/>
      <c r="V10" s="2133"/>
      <c r="W10" s="2133"/>
      <c r="X10" s="2133"/>
      <c r="Y10" s="2133"/>
      <c r="Z10" s="2200"/>
      <c r="AA10" s="2201"/>
      <c r="AB10" s="2133"/>
      <c r="AC10" s="2133"/>
      <c r="AD10" s="2133"/>
      <c r="AE10" s="2133"/>
      <c r="AF10" s="2205"/>
      <c r="AG10" s="2133"/>
      <c r="AH10" s="2133"/>
      <c r="AI10" s="2205"/>
      <c r="AJ10" s="2133"/>
      <c r="AK10" s="2133"/>
      <c r="AL10" s="1148"/>
      <c r="AM10" s="919"/>
      <c r="AN10" s="919"/>
      <c r="AO10" s="919"/>
      <c r="AP10" s="919"/>
      <c r="AQ10" s="919"/>
      <c r="AR10" s="919"/>
      <c r="AS10" s="919"/>
      <c r="AT10" s="919"/>
      <c r="AU10" s="919"/>
      <c r="AV10" s="919"/>
      <c r="AW10" s="919"/>
      <c r="AX10" s="919"/>
      <c r="AY10" s="919"/>
      <c r="AZ10" s="919"/>
      <c r="BA10" s="919"/>
      <c r="BB10" s="919"/>
      <c r="BC10" s="919"/>
      <c r="BD10" s="919"/>
      <c r="BE10" s="919"/>
      <c r="BF10" s="919"/>
      <c r="BG10" s="764">
        <v>24</v>
      </c>
    </row>
    <row s="1641" customFormat="1" customHeight="1" ht="25.2">
      <c r="A11" s="1135"/>
      <c r="B11" s="1135"/>
      <c r="C11" s="1135"/>
      <c r="D11" s="1134"/>
      <c r="E11" s="1136"/>
      <c r="F11" s="2414"/>
      <c r="G11" s="2417"/>
      <c r="H11" s="2418"/>
      <c r="I11" s="2133"/>
      <c r="J11" s="2133"/>
      <c r="K11" s="2133"/>
      <c r="L11" s="2181" t="s">
        <v>1035</v>
      </c>
      <c r="M11" s="2181" t="s">
        <v>1036</v>
      </c>
      <c r="N11" s="2133" t="s">
        <v>1037</v>
      </c>
      <c r="O11" s="2133"/>
      <c r="P11" s="2424" t="s">
        <v>1018</v>
      </c>
      <c r="Q11" s="2424" t="s">
        <v>1038</v>
      </c>
      <c r="R11" s="2424" t="s">
        <v>1039</v>
      </c>
      <c r="S11" s="2424" t="s">
        <v>1040</v>
      </c>
      <c r="T11" s="2424"/>
      <c r="U11" s="2424"/>
      <c r="V11" s="2424"/>
      <c r="W11" s="2424"/>
      <c r="X11" s="2424"/>
      <c r="Y11" s="2424"/>
      <c r="Z11" s="2200"/>
      <c r="AA11" s="2201"/>
      <c r="AB11" s="2133" t="s">
        <v>1041</v>
      </c>
      <c r="AC11" s="2133"/>
      <c r="AD11" s="2107" t="s">
        <v>1042</v>
      </c>
      <c r="AE11" s="2109"/>
      <c r="AF11" s="2205"/>
      <c r="AG11" s="2133"/>
      <c r="AH11" s="2133"/>
      <c r="AI11" s="2205"/>
      <c r="AJ11" s="2133"/>
      <c r="AK11" s="2133"/>
      <c r="AL11" s="1148"/>
      <c r="AM11" s="1133"/>
      <c r="AN11" s="1133"/>
      <c r="AO11" s="1133"/>
      <c r="AP11" s="1133"/>
      <c r="AQ11" s="1133"/>
      <c r="AR11" s="1133"/>
      <c r="AS11" s="1133"/>
      <c r="AT11" s="1133"/>
      <c r="AU11" s="1133"/>
      <c r="AV11" s="1133"/>
      <c r="AW11" s="1133"/>
      <c r="AX11" s="1133"/>
      <c r="AY11" s="1133"/>
      <c r="AZ11" s="1133"/>
      <c r="BA11" s="1133"/>
      <c r="BB11" s="1133"/>
      <c r="BC11" s="1133"/>
      <c r="BD11" s="1133"/>
      <c r="BE11" s="1133"/>
      <c r="BF11" s="1133"/>
      <c r="BG11" s="1131">
        <v>24</v>
      </c>
    </row>
    <row customHeight="1" ht="35.699999999999996">
      <c r="A12" s="911"/>
      <c r="B12" s="911"/>
      <c r="C12" s="911"/>
      <c r="E12" s="914"/>
      <c r="F12" s="2414"/>
      <c r="G12" s="2419"/>
      <c r="H12" s="2420"/>
      <c r="I12" s="1159" t="s">
        <v>90</v>
      </c>
      <c r="J12" s="1159" t="s">
        <v>1043</v>
      </c>
      <c r="K12" s="2133"/>
      <c r="L12" s="2238"/>
      <c r="M12" s="2238"/>
      <c r="N12" s="2133"/>
      <c r="O12" s="2133"/>
      <c r="P12" s="2424"/>
      <c r="Q12" s="2424"/>
      <c r="R12" s="2424"/>
      <c r="S12" s="1140" t="s">
        <v>87</v>
      </c>
      <c r="T12" s="1140" t="s">
        <v>88</v>
      </c>
      <c r="U12" s="1140" t="s">
        <v>86</v>
      </c>
      <c r="V12" s="1140" t="s">
        <v>1044</v>
      </c>
      <c r="W12" s="1140" t="s">
        <v>86</v>
      </c>
      <c r="X12" s="1140" t="s">
        <v>1045</v>
      </c>
      <c r="Y12" s="1140" t="s">
        <v>1046</v>
      </c>
      <c r="Z12" s="2206"/>
      <c r="AA12" s="2207"/>
      <c r="AB12" s="1147" t="s">
        <v>1047</v>
      </c>
      <c r="AC12" s="1147" t="s">
        <v>1048</v>
      </c>
      <c r="AD12" s="1147" t="s">
        <v>1047</v>
      </c>
      <c r="AE12" s="1147" t="s">
        <v>1048</v>
      </c>
      <c r="AF12" s="2238"/>
      <c r="AG12" s="1160" t="s">
        <v>1049</v>
      </c>
      <c r="AH12" s="1160" t="s">
        <v>1050</v>
      </c>
      <c r="AI12" s="2238"/>
      <c r="AJ12" s="1160" t="s">
        <v>1049</v>
      </c>
      <c r="AK12" s="1160" t="s">
        <v>1050</v>
      </c>
      <c r="AL12" s="1148"/>
      <c r="AM12" s="913"/>
      <c r="AN12" s="913"/>
      <c r="AO12" s="913"/>
      <c r="AP12" s="913"/>
      <c r="AQ12" s="913"/>
      <c r="AR12" s="913"/>
      <c r="AS12" s="913"/>
      <c r="AT12" s="913"/>
      <c r="AU12" s="913"/>
      <c r="AV12" s="913"/>
      <c r="AW12" s="913"/>
      <c r="AX12" s="913"/>
      <c r="AY12" s="913"/>
      <c r="AZ12" s="913"/>
      <c r="BA12" s="913"/>
      <c r="BB12" s="913"/>
      <c r="BC12" s="913"/>
      <c r="BD12" s="913"/>
      <c r="BE12" s="913"/>
      <c r="BF12" s="913"/>
      <c r="BG12" s="764">
        <v>34</v>
      </c>
    </row>
    <row customHeight="1" ht="1.05">
      <c r="E13" s="914"/>
      <c r="F13" s="1130">
        <v>0</v>
      </c>
      <c r="G13" s="1130"/>
      <c r="H13" s="1130"/>
      <c r="I13" s="1130"/>
      <c r="J13" s="1130"/>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55"/>
      <c r="AI13" s="1148"/>
      <c r="AJ13" s="1137"/>
      <c r="AK13" s="1137"/>
      <c r="AL13" s="915"/>
      <c r="AM13" s="913"/>
      <c r="AN13" s="913"/>
      <c r="AO13" s="913"/>
      <c r="AP13" s="913"/>
      <c r="AQ13" s="913"/>
      <c r="AR13" s="913"/>
      <c r="AS13" s="913"/>
      <c r="AT13" s="913"/>
      <c r="AU13" s="913"/>
      <c r="AV13" s="913"/>
      <c r="AW13" s="913"/>
      <c r="AX13" s="913"/>
      <c r="AY13" s="913"/>
      <c r="AZ13" s="913"/>
      <c r="BA13" s="913"/>
      <c r="BB13" s="913"/>
      <c r="BC13" s="913"/>
      <c r="BD13" s="913"/>
      <c r="BE13" s="913"/>
      <c r="BF13" s="913"/>
      <c r="BG13" s="764">
        <v>1</v>
      </c>
    </row>
    <row customHeight="1" ht="10.5">
      <c r="E14" s="913"/>
      <c r="F14" s="924"/>
      <c r="G14" s="924"/>
      <c r="H14" s="1178"/>
      <c r="I14" s="924"/>
      <c r="J14" s="924"/>
      <c r="K14" s="924"/>
      <c r="L14" s="1137"/>
      <c r="M14" s="1137"/>
      <c r="N14" s="924"/>
      <c r="O14" s="924"/>
      <c r="P14" s="924"/>
      <c r="Q14" s="924"/>
      <c r="R14" s="924"/>
      <c r="S14" s="924"/>
      <c r="T14" s="924"/>
      <c r="U14" s="924"/>
      <c r="V14" s="924"/>
      <c r="W14" s="924"/>
      <c r="X14" s="924"/>
      <c r="Y14" s="924"/>
      <c r="Z14" s="924"/>
      <c r="AA14" s="924"/>
      <c r="AB14" s="924"/>
      <c r="AC14" s="924"/>
      <c r="AD14" s="1137"/>
      <c r="AE14" s="924"/>
      <c r="AF14" s="924"/>
      <c r="AG14" s="924"/>
      <c r="AH14" s="1155"/>
      <c r="AI14" s="1148"/>
      <c r="AJ14" s="924"/>
      <c r="AK14" s="924"/>
      <c r="AL14" s="913"/>
      <c r="AM14" s="913"/>
      <c r="AN14" s="913"/>
      <c r="AO14" s="913"/>
      <c r="AP14" s="913"/>
      <c r="AQ14" s="913"/>
      <c r="AR14" s="913"/>
      <c r="AS14" s="913"/>
      <c r="AT14" s="913"/>
      <c r="AU14" s="913"/>
      <c r="AV14" s="913"/>
      <c r="AW14" s="913"/>
      <c r="AX14" s="913"/>
      <c r="AY14" s="913"/>
      <c r="AZ14" s="913"/>
      <c r="BA14" s="913"/>
      <c r="BB14" s="913"/>
      <c r="BC14" s="913"/>
      <c r="BD14" s="913"/>
      <c r="BE14" s="913"/>
      <c r="BF14" s="913"/>
      <c r="BG14" s="764">
        <v>10</v>
      </c>
    </row>
    <row customHeight="1" ht="13.5">
      <c r="E15" s="913"/>
      <c r="F15" s="920" t="s">
        <v>1051</v>
      </c>
      <c r="G15" s="920"/>
      <c r="H15" s="1177"/>
      <c r="I15" s="920"/>
      <c r="J15" s="920"/>
      <c r="K15" s="917"/>
      <c r="L15" s="1133"/>
      <c r="M15" s="1133"/>
      <c r="N15" s="919"/>
      <c r="O15" s="919"/>
      <c r="P15" s="919"/>
      <c r="Q15" s="919"/>
      <c r="R15" s="919"/>
      <c r="S15" s="919"/>
      <c r="T15" s="919"/>
      <c r="U15" s="919"/>
      <c r="V15" s="919"/>
      <c r="W15" s="919"/>
      <c r="X15" s="919"/>
      <c r="Y15" s="919"/>
      <c r="Z15" s="917"/>
      <c r="AA15" s="917"/>
      <c r="AB15" s="917"/>
      <c r="AC15" s="917"/>
      <c r="AD15" s="1133"/>
      <c r="AE15" s="917"/>
      <c r="AF15" s="917"/>
      <c r="AG15" s="917"/>
      <c r="AH15" s="1152"/>
      <c r="AI15" s="1145"/>
      <c r="AJ15" s="917"/>
      <c r="AK15" s="917"/>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764">
        <v>13</v>
      </c>
    </row>
    <row customHeight="1" ht="10.5">
      <c r="BG16" s="764">
        <v>10</v>
      </c>
    </row>
    <row customHeight="1" ht="10.5">
      <c r="E17" s="913"/>
      <c r="F17" s="2413"/>
      <c r="G17" s="2413"/>
      <c r="H17" s="2413"/>
      <c r="I17" s="2413"/>
      <c r="J17" s="2413"/>
      <c r="K17" s="917"/>
      <c r="L17" s="1133"/>
      <c r="M17" s="1133"/>
      <c r="N17" s="919"/>
      <c r="O17" s="919"/>
      <c r="P17" s="919"/>
      <c r="Q17" s="919"/>
      <c r="R17" s="919"/>
      <c r="S17" s="919"/>
      <c r="T17" s="919"/>
      <c r="U17" s="919"/>
      <c r="V17" s="919"/>
      <c r="W17" s="919"/>
      <c r="X17" s="919"/>
      <c r="Y17" s="919"/>
      <c r="Z17" s="917"/>
      <c r="AA17" s="917"/>
      <c r="AB17" s="917"/>
      <c r="AC17" s="917"/>
      <c r="AD17" s="1133"/>
      <c r="AE17" s="917"/>
      <c r="AF17" s="917"/>
      <c r="AG17" s="917"/>
      <c r="AH17" s="1152"/>
      <c r="AI17" s="1145"/>
      <c r="AJ17" s="917"/>
      <c r="AK17" s="917"/>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764">
        <v>10</v>
      </c>
    </row>
    <row customHeight="1" ht="10.5">
      <c r="E18" s="913"/>
      <c r="F18" s="2413"/>
      <c r="G18" s="2413"/>
      <c r="H18" s="2413"/>
      <c r="I18" s="2413"/>
      <c r="J18" s="2413"/>
      <c r="K18" s="917"/>
      <c r="L18" s="1133"/>
      <c r="M18" s="1133"/>
      <c r="N18" s="919"/>
      <c r="O18" s="919"/>
      <c r="P18" s="919"/>
      <c r="Q18" s="919"/>
      <c r="R18" s="919"/>
      <c r="S18" s="919"/>
      <c r="T18" s="919"/>
      <c r="U18" s="919"/>
      <c r="V18" s="919"/>
      <c r="W18" s="919"/>
      <c r="X18" s="919"/>
      <c r="Y18" s="919"/>
      <c r="Z18" s="917"/>
      <c r="AA18" s="917"/>
      <c r="AB18" s="917"/>
      <c r="AC18" s="917"/>
      <c r="AD18" s="1133"/>
      <c r="AE18" s="917"/>
      <c r="AF18" s="917"/>
      <c r="AG18" s="917"/>
      <c r="AH18" s="1152"/>
      <c r="AI18" s="1145"/>
      <c r="AJ18" s="917"/>
      <c r="AK18" s="917"/>
      <c r="AL18" s="913"/>
      <c r="AM18" s="913"/>
      <c r="AN18" s="913"/>
      <c r="AO18" s="913"/>
      <c r="AP18" s="913"/>
      <c r="AQ18" s="913"/>
      <c r="AR18" s="913"/>
      <c r="AS18" s="913"/>
      <c r="AT18" s="913"/>
      <c r="AU18" s="913"/>
      <c r="AV18" s="913"/>
      <c r="AW18" s="913"/>
      <c r="AX18" s="913"/>
      <c r="AY18" s="913"/>
      <c r="AZ18" s="913"/>
      <c r="BA18" s="913"/>
      <c r="BB18" s="913"/>
      <c r="BC18" s="913"/>
      <c r="BD18" s="913"/>
      <c r="BE18" s="913"/>
      <c r="BF18" s="913"/>
      <c r="BG18" s="764">
        <v>10</v>
      </c>
    </row>
    <row customHeight="1" ht="10.5">
      <c r="E19" s="913"/>
      <c r="F19" s="2413"/>
      <c r="G19" s="2413"/>
      <c r="H19" s="2413"/>
      <c r="I19" s="2413"/>
      <c r="J19" s="2413"/>
      <c r="K19" s="917"/>
      <c r="L19" s="1133"/>
      <c r="M19" s="1133"/>
      <c r="N19" s="919"/>
      <c r="O19" s="919"/>
      <c r="P19" s="919"/>
      <c r="Q19" s="919"/>
      <c r="R19" s="919"/>
      <c r="S19" s="919"/>
      <c r="T19" s="919"/>
      <c r="U19" s="919"/>
      <c r="V19" s="919"/>
      <c r="W19" s="919"/>
      <c r="X19" s="919"/>
      <c r="Y19" s="919"/>
      <c r="Z19" s="917"/>
      <c r="AA19" s="917"/>
      <c r="AB19" s="917"/>
      <c r="AC19" s="917"/>
      <c r="AD19" s="1133"/>
      <c r="AE19" s="917"/>
      <c r="AF19" s="917"/>
      <c r="AG19" s="917"/>
      <c r="AH19" s="1152"/>
      <c r="AI19" s="1145"/>
      <c r="AJ19" s="917"/>
      <c r="AK19" s="917"/>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764">
        <v>10</v>
      </c>
    </row>
    <row customHeight="1" ht="10.5" hidden="1">
      <c r="A20" s="901" t="s">
        <v>83</v>
      </c>
      <c r="B20" s="901">
        <v>0</v>
      </c>
      <c r="C20" s="901">
        <v>0</v>
      </c>
      <c r="D20" s="423">
        <v>0</v>
      </c>
      <c r="E20" s="515">
        <v>3</v>
      </c>
      <c r="F20" s="764">
        <v>14</v>
      </c>
      <c r="G20" s="764">
        <v>3</v>
      </c>
      <c r="H20" s="1161">
        <v>7</v>
      </c>
      <c r="I20" s="764">
        <v>16</v>
      </c>
      <c r="J20" s="764">
        <v>16</v>
      </c>
      <c r="K20" s="764">
        <v>25</v>
      </c>
      <c r="L20" s="1131">
        <v>7</v>
      </c>
      <c r="M20" s="1131">
        <v>15</v>
      </c>
      <c r="N20" s="764">
        <v>3</v>
      </c>
      <c r="O20" s="764">
        <v>4</v>
      </c>
      <c r="P20" s="764">
        <v>8</v>
      </c>
      <c r="Q20" s="764">
        <v>21</v>
      </c>
      <c r="R20" s="764">
        <v>14</v>
      </c>
      <c r="S20" s="764">
        <v>17</v>
      </c>
      <c r="T20" s="764">
        <v>17</v>
      </c>
      <c r="U20" s="764">
        <v>9</v>
      </c>
      <c r="V20" s="764">
        <v>12</v>
      </c>
      <c r="W20" s="764">
        <v>9</v>
      </c>
      <c r="X20" s="764">
        <v>21</v>
      </c>
      <c r="Y20" s="764">
        <v>12</v>
      </c>
      <c r="Z20" s="764">
        <v>3</v>
      </c>
      <c r="AA20" s="764">
        <v>6</v>
      </c>
      <c r="AB20" s="764">
        <v>38</v>
      </c>
      <c r="AC20" s="764">
        <v>15</v>
      </c>
      <c r="AD20" s="1131">
        <v>0</v>
      </c>
      <c r="AE20" s="764">
        <v>0</v>
      </c>
      <c r="AF20" s="764">
        <v>16</v>
      </c>
      <c r="AG20" s="764">
        <v>16</v>
      </c>
      <c r="AH20" s="1150">
        <v>16</v>
      </c>
      <c r="AI20" s="1143">
        <v>0</v>
      </c>
      <c r="AJ20" s="764">
        <v>0</v>
      </c>
      <c r="AK20" s="764">
        <v>0</v>
      </c>
      <c r="AL20" s="764">
        <v>8</v>
      </c>
      <c r="AM20" s="764">
        <v>8</v>
      </c>
      <c r="AN20" s="764">
        <v>8</v>
      </c>
      <c r="AO20" s="764">
        <v>8</v>
      </c>
      <c r="AP20" s="764">
        <v>8</v>
      </c>
      <c r="AQ20" s="764">
        <v>8</v>
      </c>
      <c r="AR20" s="764">
        <v>8</v>
      </c>
      <c r="AS20" s="764">
        <v>8</v>
      </c>
      <c r="AT20" s="764">
        <v>8</v>
      </c>
      <c r="AU20" s="764">
        <v>8</v>
      </c>
      <c r="AV20" s="764">
        <v>8</v>
      </c>
      <c r="AW20" s="764">
        <v>8</v>
      </c>
      <c r="AX20" s="764">
        <v>8</v>
      </c>
      <c r="AY20" s="764">
        <v>8</v>
      </c>
      <c r="AZ20" s="764">
        <v>8</v>
      </c>
      <c r="BA20" s="764">
        <v>8</v>
      </c>
      <c r="BB20" s="764">
        <v>8</v>
      </c>
      <c r="BC20" s="764">
        <v>8</v>
      </c>
      <c r="BD20" s="764">
        <v>8</v>
      </c>
      <c r="BE20" s="764">
        <v>8</v>
      </c>
      <c r="BF20" s="764">
        <v>8</v>
      </c>
      <c r="BG20" s="764">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AE9072-507A-4683-4BC9-F33F9D6C855A}"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6.00390625" customWidth="1"/>
    <col min="7" max="7" style="1641" width="60.00390625" customWidth="1"/>
    <col min="8" max="9" style="1641" width="21.7109375" hidden="1" customWidth="1"/>
    <col min="10" max="10" style="1641" width="0.140625" customWidth="1"/>
    <col min="11" max="11" style="1641" width="1.00390625" customWidth="1"/>
    <col min="12" max="22" style="1641" width="8.00390625" customWidth="1"/>
    <col min="23" max="23" style="1641" width="9.140625" hidden="1"/>
  </cols>
  <sheetData>
    <row s="1372" customFormat="1" customHeight="1" ht="10.5" hidden="1">
      <c r="A1" s="1172"/>
      <c r="B1" s="1172"/>
      <c r="C1" s="1172"/>
      <c r="E1" s="543"/>
      <c r="W1" s="1166" t="s">
        <v>14</v>
      </c>
    </row>
    <row customHeight="1" ht="10.5" hidden="1">
      <c r="W2" s="1161">
        <v>0</v>
      </c>
    </row>
    <row s="1638" customFormat="1" customHeight="1" ht="10.5" hidden="1">
      <c r="A3" s="1172"/>
      <c r="B3" s="1172"/>
      <c r="C3" s="1172"/>
      <c r="D3" s="1166"/>
      <c r="E3" s="368"/>
      <c r="W3" s="1162">
        <v>0</v>
      </c>
    </row>
    <row customHeight="1" ht="3">
      <c r="W4" s="1161">
        <v>3</v>
      </c>
    </row>
    <row customHeight="1" ht="27.299999999999997">
      <c r="F5" s="225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4"/>
      <c r="H5" s="2254"/>
      <c r="I5" s="2254"/>
      <c r="J5" s="2254"/>
      <c r="W5" s="1161">
        <v>26</v>
      </c>
    </row>
    <row customHeight="1" ht="10.5">
      <c r="F6" s="2182" t="str">
        <f>IF(org=0,"Не определено",org)</f>
        <v>АО «ДГК» СП «Нерюнгринская ГРЭС»</v>
      </c>
      <c r="G6" s="2182"/>
      <c r="H6" s="2182"/>
      <c r="I6" s="2182"/>
      <c r="J6" s="2182"/>
      <c r="W6" s="1161">
        <v>10</v>
      </c>
    </row>
    <row customHeight="1" ht="11.549999999999999">
      <c r="E7" s="1176"/>
      <c r="F7" s="1233"/>
      <c r="G7" s="1233"/>
      <c r="H7" s="1233"/>
      <c r="I7" s="1233"/>
      <c r="J7" s="1233"/>
      <c r="K7" s="1163"/>
      <c r="L7" s="1163"/>
      <c r="M7" s="1163"/>
      <c r="N7" s="1163"/>
      <c r="O7" s="1163"/>
      <c r="P7" s="1163"/>
      <c r="Q7" s="1163"/>
      <c r="R7" s="1163"/>
      <c r="S7" s="1163"/>
      <c r="T7" s="1163"/>
      <c r="U7" s="1163"/>
      <c r="V7" s="1163"/>
      <c r="W7" s="1161">
        <v>11</v>
      </c>
    </row>
    <row s="1648" customFormat="1" customHeight="1" ht="4.2">
      <c r="A8" s="1173"/>
      <c r="B8" s="1173"/>
      <c r="C8" s="1173"/>
      <c r="E8" s="1234"/>
      <c r="F8" s="1235"/>
      <c r="G8" s="1235"/>
      <c r="H8" s="1235"/>
      <c r="I8" s="1235"/>
      <c r="J8" s="1235"/>
      <c r="K8" s="1234"/>
      <c r="L8" s="1234"/>
      <c r="M8" s="1234"/>
      <c r="N8" s="1234"/>
      <c r="O8" s="1234"/>
      <c r="P8" s="1234"/>
      <c r="Q8" s="1234"/>
      <c r="R8" s="1234"/>
      <c r="S8" s="1234"/>
      <c r="T8" s="1234"/>
      <c r="U8" s="1234"/>
      <c r="V8" s="1234"/>
      <c r="W8" s="517">
        <v>4</v>
      </c>
    </row>
    <row customHeight="1" ht="10.5">
      <c r="E9" s="1176"/>
      <c r="F9" s="2425" t="s">
        <v>316</v>
      </c>
      <c r="G9" s="2426"/>
      <c r="H9" s="2426"/>
      <c r="I9" s="2426"/>
      <c r="J9" s="2426"/>
      <c r="K9" s="1246"/>
      <c r="L9" s="1163"/>
      <c r="M9" s="1163"/>
      <c r="N9" s="1163"/>
      <c r="O9" s="1163"/>
      <c r="P9" s="1163"/>
      <c r="Q9" s="1163"/>
      <c r="R9" s="1163"/>
      <c r="S9" s="1163"/>
      <c r="T9" s="1163"/>
      <c r="U9" s="1163"/>
      <c r="V9" s="1163"/>
      <c r="W9" s="1161">
        <v>10</v>
      </c>
    </row>
    <row customHeight="1" ht="25.2">
      <c r="E10" s="1163"/>
      <c r="F10" s="2429" t="s">
        <v>89</v>
      </c>
      <c r="G10" s="2434" t="s">
        <v>1052</v>
      </c>
      <c r="H10" s="2432" t="s">
        <v>1053</v>
      </c>
      <c r="I10" s="2432"/>
      <c r="J10" s="2432"/>
      <c r="K10" s="1239"/>
      <c r="L10" s="1163"/>
      <c r="M10" s="1163"/>
      <c r="N10" s="1163"/>
      <c r="O10" s="1163"/>
      <c r="P10" s="1163"/>
      <c r="Q10" s="1163"/>
      <c r="R10" s="1163"/>
      <c r="S10" s="1163"/>
      <c r="T10" s="1163"/>
      <c r="U10" s="1163"/>
      <c r="V10" s="1163"/>
      <c r="W10" s="1161">
        <v>24</v>
      </c>
    </row>
    <row customHeight="1" ht="25.5">
      <c r="E11" s="1163"/>
      <c r="F11" s="2430"/>
      <c r="G11" s="2434"/>
      <c r="H11" s="2433">
        <f>INDEX(IP_MAIN_LIST_NAME_IP,MATCH(H8,IP_MAIN_LIST_IP_ID,0))&amp;" ("&amp;INDEX(IP_MAIN_START_DATE,MATCH(H8,IP_MAIN_LIST_IP_ID,0))&amp;"-"&amp;INDEX(IP_MAIN_END_DATE,MATCH(H8,IP_MAIN_LIST_IP_ID,0))&amp;")"</f>
      </c>
      <c r="I11" s="2433"/>
      <c r="J11" s="2433"/>
      <c r="K11" s="1239"/>
      <c r="L11" s="1163"/>
      <c r="M11" s="1163"/>
      <c r="N11" s="1163"/>
      <c r="O11" s="1163"/>
      <c r="P11" s="1163"/>
      <c r="Q11" s="1163"/>
      <c r="R11" s="1163"/>
      <c r="S11" s="1163"/>
      <c r="T11" s="1163"/>
      <c r="U11" s="1163"/>
      <c r="V11" s="1163"/>
      <c r="W11" s="1161">
        <v>24</v>
      </c>
    </row>
    <row customHeight="1" ht="10.5">
      <c r="F12" s="2431"/>
      <c r="G12" s="2434"/>
      <c r="H12" s="1232" t="s">
        <v>1054</v>
      </c>
      <c r="I12" s="1238"/>
      <c r="J12" s="1232"/>
      <c r="K12" s="1240"/>
      <c r="W12" s="1161">
        <v>10</v>
      </c>
    </row>
    <row customHeight="1" ht="10.5" hidden="1">
      <c r="F13" s="1232">
        <v>1</v>
      </c>
      <c r="G13" s="1232">
        <v>2</v>
      </c>
      <c r="H13" s="1232">
        <v>3</v>
      </c>
      <c r="I13" s="1232">
        <v>4</v>
      </c>
      <c r="J13" s="1232">
        <v>5</v>
      </c>
      <c r="K13" s="1240"/>
      <c r="W13" s="1161">
        <v>0</v>
      </c>
    </row>
    <row customHeight="1" ht="11.549999999999999">
      <c r="F14" s="1231" t="s">
        <v>1055</v>
      </c>
      <c r="G14" s="2427" t="s">
        <v>1056</v>
      </c>
      <c r="H14" s="2427"/>
      <c r="I14" s="2427"/>
      <c r="J14" s="2427"/>
      <c r="K14" s="1240"/>
      <c r="W14" s="1161">
        <v>11</v>
      </c>
    </row>
    <row customHeight="1" ht="11.549999999999999">
      <c r="F15" s="1236">
        <v>1</v>
      </c>
      <c r="G15" s="696" t="s">
        <v>1057</v>
      </c>
      <c r="H15" s="1242">
        <f>SUM(I15:J15)</f>
        <v>0</v>
      </c>
      <c r="I15" s="1242">
        <f>SUM(I16:I27)</f>
        <v>0</v>
      </c>
      <c r="J15" s="1231"/>
      <c r="K15" s="1240"/>
      <c r="W15" s="1161">
        <v>11</v>
      </c>
    </row>
    <row customHeight="1" ht="24">
      <c r="F16" s="1236" t="s">
        <v>1058</v>
      </c>
      <c r="G16" s="1243" t="s">
        <v>1059</v>
      </c>
      <c r="H16" s="1242">
        <f>SUM(I16:J16)</f>
        <v>0</v>
      </c>
      <c r="I16" s="1241"/>
      <c r="J16" s="1231"/>
      <c r="K16" s="1240"/>
      <c r="W16" s="1161">
        <v>23</v>
      </c>
    </row>
    <row customHeight="1" ht="24">
      <c r="F17" s="1236" t="s">
        <v>1060</v>
      </c>
      <c r="G17" s="1243" t="s">
        <v>1061</v>
      </c>
      <c r="H17" s="1242">
        <f>SUM(I17:J17)</f>
        <v>0</v>
      </c>
      <c r="I17" s="1241"/>
      <c r="J17" s="1231"/>
      <c r="K17" s="1240"/>
      <c r="W17" s="1161">
        <v>23</v>
      </c>
    </row>
    <row customHeight="1" ht="35.699999999999996">
      <c r="F18" s="1236" t="s">
        <v>1062</v>
      </c>
      <c r="G18" s="1243" t="s">
        <v>1063</v>
      </c>
      <c r="H18" s="1242">
        <f>SUM(I18:J18)</f>
        <v>0</v>
      </c>
      <c r="I18" s="1241"/>
      <c r="J18" s="1231"/>
      <c r="K18" s="1240"/>
      <c r="W18" s="1161">
        <v>34</v>
      </c>
    </row>
    <row customHeight="1" ht="35.699999999999996">
      <c r="F19" s="1236" t="s">
        <v>1064</v>
      </c>
      <c r="G19" s="1243" t="s">
        <v>1065</v>
      </c>
      <c r="H19" s="1242">
        <f>SUM(I19:J19)</f>
        <v>0</v>
      </c>
      <c r="I19" s="1241"/>
      <c r="J19" s="1231"/>
      <c r="K19" s="1240"/>
      <c r="W19" s="1161">
        <v>34</v>
      </c>
    </row>
    <row customHeight="1" ht="48.29999999999999">
      <c r="F20" s="1236" t="s">
        <v>1066</v>
      </c>
      <c r="G20" s="1243" t="s">
        <v>1067</v>
      </c>
      <c r="H20" s="1242">
        <f>SUM(I20:J20)</f>
        <v>0</v>
      </c>
      <c r="I20" s="1241"/>
      <c r="J20" s="1231"/>
      <c r="K20" s="1240"/>
      <c r="W20" s="1161">
        <v>46</v>
      </c>
    </row>
    <row customHeight="1" ht="35.699999999999996">
      <c r="F21" s="1236" t="s">
        <v>1068</v>
      </c>
      <c r="G21" s="1243" t="s">
        <v>1069</v>
      </c>
      <c r="H21" s="1242">
        <f>SUM(I21:J21)</f>
        <v>0</v>
      </c>
      <c r="I21" s="1241"/>
      <c r="J21" s="1231"/>
      <c r="K21" s="1240"/>
      <c r="W21" s="1161">
        <v>34</v>
      </c>
    </row>
    <row customHeight="1" ht="35.699999999999996">
      <c r="F22" s="1236" t="s">
        <v>1070</v>
      </c>
      <c r="G22" s="1243" t="s">
        <v>1071</v>
      </c>
      <c r="H22" s="1242">
        <f>SUM(I22:J22)</f>
        <v>0</v>
      </c>
      <c r="I22" s="1241"/>
      <c r="J22" s="1231"/>
      <c r="K22" s="1240"/>
      <c r="W22" s="1161">
        <v>34</v>
      </c>
    </row>
    <row customHeight="1" ht="24">
      <c r="F23" s="1236" t="s">
        <v>1072</v>
      </c>
      <c r="G23" s="1243" t="s">
        <v>1073</v>
      </c>
      <c r="H23" s="1242">
        <f>SUM(I23:J23)</f>
        <v>0</v>
      </c>
      <c r="I23" s="1241"/>
      <c r="J23" s="1231"/>
      <c r="K23" s="1240"/>
      <c r="W23" s="1161">
        <v>23</v>
      </c>
    </row>
    <row customHeight="1" ht="24">
      <c r="F24" s="1236" t="s">
        <v>1074</v>
      </c>
      <c r="G24" s="1243" t="s">
        <v>1075</v>
      </c>
      <c r="H24" s="1242">
        <f>SUM(I24:J24)</f>
        <v>0</v>
      </c>
      <c r="I24" s="1241"/>
      <c r="J24" s="1231"/>
      <c r="K24" s="1240"/>
      <c r="W24" s="1161">
        <v>23</v>
      </c>
    </row>
    <row customHeight="1" ht="35.699999999999996">
      <c r="F25" s="1236" t="s">
        <v>1076</v>
      </c>
      <c r="G25" s="1243" t="s">
        <v>1077</v>
      </c>
      <c r="H25" s="1242">
        <f>SUM(I25:J25)</f>
        <v>0</v>
      </c>
      <c r="I25" s="1241"/>
      <c r="J25" s="1231"/>
      <c r="K25" s="1240"/>
      <c r="W25" s="1161">
        <v>34</v>
      </c>
    </row>
    <row customHeight="1" ht="35.699999999999996">
      <c r="F26" s="1236" t="s">
        <v>1078</v>
      </c>
      <c r="G26" s="1243" t="s">
        <v>1079</v>
      </c>
      <c r="H26" s="1242">
        <f>SUM(I26:J26)</f>
        <v>0</v>
      </c>
      <c r="I26" s="1241"/>
      <c r="J26" s="1231"/>
      <c r="K26" s="1240"/>
      <c r="W26" s="1161">
        <v>34</v>
      </c>
    </row>
    <row customHeight="1" ht="11.549999999999999">
      <c r="F27" s="1236" t="s">
        <v>1080</v>
      </c>
      <c r="G27" s="1243" t="s">
        <v>1081</v>
      </c>
      <c r="H27" s="1242">
        <f>SUM(I27:J27)</f>
        <v>0</v>
      </c>
      <c r="I27" s="1241"/>
      <c r="J27" s="1231"/>
      <c r="K27" s="1240"/>
      <c r="W27" s="1161">
        <v>11</v>
      </c>
    </row>
    <row customHeight="1" ht="11.549999999999999">
      <c r="F28" s="1236">
        <v>2</v>
      </c>
      <c r="G28" s="696" t="s">
        <v>1082</v>
      </c>
      <c r="H28" s="1242">
        <f>SUM(I28:J28)</f>
        <v>0</v>
      </c>
      <c r="I28" s="1242">
        <f>SUM(I29:I31)</f>
        <v>0</v>
      </c>
      <c r="J28" s="1231"/>
      <c r="K28" s="1240"/>
      <c r="W28" s="1161">
        <v>11</v>
      </c>
    </row>
    <row customHeight="1" ht="11.549999999999999">
      <c r="F29" s="1236" t="s">
        <v>745</v>
      </c>
      <c r="G29" s="1243" t="s">
        <v>1083</v>
      </c>
      <c r="H29" s="1242">
        <f>SUM(I29:J29)</f>
        <v>0</v>
      </c>
      <c r="I29" s="1241"/>
      <c r="J29" s="1231"/>
      <c r="K29" s="1240"/>
      <c r="W29" s="1161">
        <v>11</v>
      </c>
    </row>
    <row customHeight="1" ht="11.549999999999999">
      <c r="F30" s="1236" t="s">
        <v>323</v>
      </c>
      <c r="G30" s="1243" t="s">
        <v>1084</v>
      </c>
      <c r="H30" s="1242">
        <f>SUM(I30:J30)</f>
        <v>0</v>
      </c>
      <c r="I30" s="1241"/>
      <c r="J30" s="1231"/>
      <c r="K30" s="1240"/>
      <c r="W30" s="1161">
        <v>11</v>
      </c>
    </row>
    <row customHeight="1" ht="11.549999999999999">
      <c r="F31" s="1236" t="s">
        <v>326</v>
      </c>
      <c r="G31" s="1243" t="s">
        <v>1085</v>
      </c>
      <c r="H31" s="1242">
        <f>SUM(I31:J31)</f>
        <v>0</v>
      </c>
      <c r="I31" s="1241"/>
      <c r="J31" s="1231"/>
      <c r="K31" s="1240"/>
      <c r="W31" s="1161">
        <v>11</v>
      </c>
    </row>
    <row customHeight="1" ht="11.549999999999999">
      <c r="F32" s="1236">
        <v>3</v>
      </c>
      <c r="G32" s="696" t="s">
        <v>1086</v>
      </c>
      <c r="H32" s="1242">
        <f>SUM(I32:J32)</f>
        <v>0</v>
      </c>
      <c r="I32" s="1242">
        <f>SUM(I33:I34)</f>
        <v>0</v>
      </c>
      <c r="J32" s="1231"/>
      <c r="K32" s="1240"/>
      <c r="W32" s="1161">
        <v>11</v>
      </c>
    </row>
    <row customHeight="1" ht="48.29999999999999">
      <c r="F33" s="1236" t="s">
        <v>340</v>
      </c>
      <c r="G33" s="1243" t="s">
        <v>1087</v>
      </c>
      <c r="H33" s="1242">
        <f>SUM(I33:J33)</f>
        <v>0</v>
      </c>
      <c r="I33" s="1241"/>
      <c r="J33" s="1231"/>
      <c r="K33" s="1240"/>
      <c r="W33" s="1161">
        <v>46</v>
      </c>
    </row>
    <row customHeight="1" ht="11.549999999999999">
      <c r="F34" s="1236" t="s">
        <v>348</v>
      </c>
      <c r="G34" s="1243" t="s">
        <v>1088</v>
      </c>
      <c r="H34" s="1242">
        <f>SUM(I34:J34)</f>
        <v>0</v>
      </c>
      <c r="I34" s="1241"/>
      <c r="J34" s="1231"/>
      <c r="K34" s="1240"/>
      <c r="W34" s="1161">
        <v>11</v>
      </c>
    </row>
    <row customHeight="1" ht="11.549999999999999">
      <c r="F35" s="1236">
        <v>4</v>
      </c>
      <c r="G35" s="696" t="s">
        <v>1089</v>
      </c>
      <c r="H35" s="1242">
        <f>SUM(I35:J35)</f>
        <v>0</v>
      </c>
      <c r="I35" s="1241"/>
      <c r="J35" s="1231"/>
      <c r="K35" s="1240"/>
      <c r="W35" s="1161">
        <v>11</v>
      </c>
    </row>
    <row customHeight="1" ht="11.549999999999999">
      <c r="F36" s="1236"/>
      <c r="G36" s="699" t="s">
        <v>1090</v>
      </c>
      <c r="H36" s="1242">
        <f>SUM(I36:J36)</f>
        <v>0</v>
      </c>
      <c r="I36" s="1242">
        <f>SUM(I15,I28,I32,I35)</f>
        <v>0</v>
      </c>
      <c r="J36" s="1231"/>
      <c r="K36" s="1240"/>
      <c r="W36" s="1161">
        <v>11</v>
      </c>
    </row>
    <row customHeight="1" ht="29.25">
      <c r="F37" s="1237" t="s">
        <v>1091</v>
      </c>
      <c r="G37" s="2428" t="s">
        <v>1092</v>
      </c>
      <c r="H37" s="2428"/>
      <c r="I37" s="2428"/>
      <c r="J37" s="2428"/>
      <c r="K37" s="1240"/>
      <c r="W37" s="1161">
        <v>28</v>
      </c>
    </row>
    <row customHeight="1" ht="24">
      <c r="F38" s="1236" t="s">
        <v>111</v>
      </c>
      <c r="G38" s="696" t="s">
        <v>1093</v>
      </c>
      <c r="H38" s="1242">
        <f>SUM(I38:J38)</f>
        <v>0</v>
      </c>
      <c r="I38" s="1242">
        <f>SUM(I39,I44,I47)</f>
        <v>0</v>
      </c>
      <c r="J38" s="1231"/>
      <c r="K38" s="1240"/>
      <c r="W38" s="1161">
        <v>23</v>
      </c>
    </row>
    <row customHeight="1" ht="11.549999999999999">
      <c r="F39" s="1236" t="s">
        <v>1058</v>
      </c>
      <c r="G39" s="1243" t="s">
        <v>1057</v>
      </c>
      <c r="H39" s="1242">
        <f>SUM(I39:J39)</f>
        <v>0</v>
      </c>
      <c r="I39" s="1242">
        <f>SUM(I40:I43)</f>
        <v>0</v>
      </c>
      <c r="J39" s="1231"/>
      <c r="K39" s="1240"/>
      <c r="W39" s="1161">
        <v>11</v>
      </c>
    </row>
    <row customHeight="1" ht="24">
      <c r="F40" s="1236" t="s">
        <v>1094</v>
      </c>
      <c r="G40" s="1244" t="s">
        <v>1095</v>
      </c>
      <c r="H40" s="1242">
        <f>SUM(I40:J40)</f>
        <v>0</v>
      </c>
      <c r="I40" s="1241"/>
      <c r="J40" s="1231"/>
      <c r="K40" s="1240"/>
      <c r="W40" s="1161">
        <v>23</v>
      </c>
    </row>
    <row customHeight="1" ht="11.549999999999999">
      <c r="F41" s="1236" t="s">
        <v>1096</v>
      </c>
      <c r="G41" s="1244" t="s">
        <v>1097</v>
      </c>
      <c r="H41" s="1242">
        <f>SUM(I41:J41)</f>
        <v>0</v>
      </c>
      <c r="I41" s="1241"/>
      <c r="J41" s="1231"/>
      <c r="K41" s="1240"/>
      <c r="W41" s="1161">
        <v>11</v>
      </c>
    </row>
    <row customHeight="1" ht="11.549999999999999">
      <c r="F42" s="1236" t="s">
        <v>1098</v>
      </c>
      <c r="G42" s="1244" t="s">
        <v>1099</v>
      </c>
      <c r="H42" s="1242">
        <f>SUM(I42:J42)</f>
        <v>0</v>
      </c>
      <c r="I42" s="1241"/>
      <c r="J42" s="1231"/>
      <c r="K42" s="1240"/>
      <c r="W42" s="1161">
        <v>11</v>
      </c>
    </row>
    <row customHeight="1" ht="35.699999999999996">
      <c r="F43" s="1236" t="s">
        <v>1100</v>
      </c>
      <c r="G43" s="1244" t="s">
        <v>1101</v>
      </c>
      <c r="H43" s="1242">
        <f>SUM(I43:J43)</f>
        <v>0</v>
      </c>
      <c r="I43" s="1241"/>
      <c r="J43" s="1231"/>
      <c r="K43" s="1240"/>
      <c r="W43" s="1161">
        <v>34</v>
      </c>
    </row>
    <row customHeight="1" ht="11.549999999999999">
      <c r="F44" s="1236" t="s">
        <v>1060</v>
      </c>
      <c r="G44" s="1243" t="s">
        <v>1086</v>
      </c>
      <c r="H44" s="1242">
        <f>SUM(I44:J44)</f>
        <v>0</v>
      </c>
      <c r="I44" s="1242">
        <f>SUM(I45:I46)</f>
        <v>0</v>
      </c>
      <c r="J44" s="1231"/>
      <c r="K44" s="1240"/>
      <c r="W44" s="1161">
        <v>11</v>
      </c>
    </row>
    <row customHeight="1" ht="48.29999999999999">
      <c r="F45" s="1236" t="s">
        <v>1102</v>
      </c>
      <c r="G45" s="1244" t="s">
        <v>1087</v>
      </c>
      <c r="H45" s="1242">
        <f>SUM(I45:J45)</f>
        <v>0</v>
      </c>
      <c r="I45" s="1241"/>
      <c r="J45" s="1231"/>
      <c r="K45" s="1240"/>
      <c r="W45" s="1161">
        <v>46</v>
      </c>
    </row>
    <row customHeight="1" ht="11.549999999999999">
      <c r="F46" s="1236" t="s">
        <v>1103</v>
      </c>
      <c r="G46" s="1244" t="s">
        <v>1088</v>
      </c>
      <c r="H46" s="1242">
        <f>SUM(I46:J46)</f>
        <v>0</v>
      </c>
      <c r="I46" s="1241"/>
      <c r="J46" s="1231"/>
      <c r="K46" s="1240"/>
      <c r="W46" s="1161">
        <v>11</v>
      </c>
    </row>
    <row customHeight="1" ht="11.549999999999999">
      <c r="F47" s="1236" t="s">
        <v>1062</v>
      </c>
      <c r="G47" s="1243" t="s">
        <v>1104</v>
      </c>
      <c r="H47" s="1242">
        <f>SUM(I47:J47)</f>
        <v>0</v>
      </c>
      <c r="I47" s="1241"/>
      <c r="J47" s="1231"/>
      <c r="K47" s="1240"/>
      <c r="W47" s="1161">
        <v>11</v>
      </c>
    </row>
    <row customHeight="1" ht="24">
      <c r="F48" s="1236" t="s">
        <v>112</v>
      </c>
      <c r="G48" s="696" t="s">
        <v>1105</v>
      </c>
      <c r="H48" s="1242">
        <f>SUM(I48:J48)</f>
        <v>0</v>
      </c>
      <c r="I48" s="1242">
        <f>SUM(I49,I54,I57)</f>
        <v>0</v>
      </c>
      <c r="J48" s="1231"/>
      <c r="K48" s="1240"/>
      <c r="W48" s="1161">
        <v>23</v>
      </c>
    </row>
    <row customHeight="1" ht="11.549999999999999">
      <c r="F49" s="1236" t="s">
        <v>745</v>
      </c>
      <c r="G49" s="1243" t="s">
        <v>1057</v>
      </c>
      <c r="H49" s="1242">
        <f>SUM(I49:J49)</f>
        <v>0</v>
      </c>
      <c r="I49" s="1242">
        <f>SUM(I50:I53)</f>
        <v>0</v>
      </c>
      <c r="J49" s="1231"/>
      <c r="K49" s="1240"/>
      <c r="W49" s="1161">
        <v>11</v>
      </c>
    </row>
    <row customHeight="1" ht="24">
      <c r="F50" s="1236" t="s">
        <v>748</v>
      </c>
      <c r="G50" s="1244" t="s">
        <v>1095</v>
      </c>
      <c r="H50" s="1242">
        <f>SUM(I50:J50)</f>
        <v>0</v>
      </c>
      <c r="I50" s="1241"/>
      <c r="J50" s="1231"/>
      <c r="K50" s="1240"/>
      <c r="W50" s="1161">
        <v>23</v>
      </c>
    </row>
    <row customHeight="1" ht="11.549999999999999">
      <c r="F51" s="1236" t="s">
        <v>751</v>
      </c>
      <c r="G51" s="1244" t="s">
        <v>1097</v>
      </c>
      <c r="H51" s="1242">
        <f>SUM(I51:J51)</f>
        <v>0</v>
      </c>
      <c r="I51" s="1241"/>
      <c r="J51" s="1231"/>
      <c r="K51" s="1240"/>
      <c r="W51" s="1161">
        <v>11</v>
      </c>
    </row>
    <row customHeight="1" ht="11.549999999999999">
      <c r="F52" s="1236" t="s">
        <v>1106</v>
      </c>
      <c r="G52" s="1244" t="s">
        <v>1099</v>
      </c>
      <c r="H52" s="1242">
        <f>SUM(I52:J52)</f>
        <v>0</v>
      </c>
      <c r="I52" s="1241"/>
      <c r="J52" s="1231"/>
      <c r="K52" s="1240"/>
      <c r="W52" s="1161">
        <v>11</v>
      </c>
    </row>
    <row customHeight="1" ht="35.699999999999996">
      <c r="F53" s="1236" t="s">
        <v>1107</v>
      </c>
      <c r="G53" s="1244" t="s">
        <v>1101</v>
      </c>
      <c r="H53" s="1242">
        <f>SUM(I53:J53)</f>
        <v>0</v>
      </c>
      <c r="I53" s="1241"/>
      <c r="J53" s="1231"/>
      <c r="K53" s="1240"/>
      <c r="W53" s="1161">
        <v>34</v>
      </c>
    </row>
    <row customHeight="1" ht="11.549999999999999">
      <c r="F54" s="1236" t="s">
        <v>323</v>
      </c>
      <c r="G54" s="1243" t="s">
        <v>1086</v>
      </c>
      <c r="H54" s="1242">
        <f>SUM(I54:J54)</f>
        <v>0</v>
      </c>
      <c r="I54" s="1242">
        <f>SUM(I55:I56)</f>
        <v>0</v>
      </c>
      <c r="J54" s="1231"/>
      <c r="K54" s="1240"/>
      <c r="W54" s="1161">
        <v>11</v>
      </c>
    </row>
    <row customHeight="1" ht="48.29999999999999">
      <c r="F55" s="1236" t="s">
        <v>755</v>
      </c>
      <c r="G55" s="1244" t="s">
        <v>1087</v>
      </c>
      <c r="H55" s="1242">
        <f>SUM(I55:J55)</f>
        <v>0</v>
      </c>
      <c r="I55" s="1241"/>
      <c r="J55" s="1231"/>
      <c r="K55" s="1240"/>
      <c r="W55" s="1161">
        <v>46</v>
      </c>
    </row>
    <row customHeight="1" ht="11.549999999999999">
      <c r="F56" s="1236" t="s">
        <v>757</v>
      </c>
      <c r="G56" s="1244" t="s">
        <v>1088</v>
      </c>
      <c r="H56" s="1242">
        <f>SUM(I56:J56)</f>
        <v>0</v>
      </c>
      <c r="I56" s="1241"/>
      <c r="J56" s="1231"/>
      <c r="K56" s="1240"/>
      <c r="W56" s="1161">
        <v>11</v>
      </c>
    </row>
    <row customHeight="1" ht="11.549999999999999">
      <c r="F57" s="1236" t="s">
        <v>326</v>
      </c>
      <c r="G57" s="1243" t="s">
        <v>1104</v>
      </c>
      <c r="H57" s="1242">
        <f>SUM(I57:J57)</f>
        <v>0</v>
      </c>
      <c r="I57" s="1241"/>
      <c r="J57" s="1231"/>
      <c r="K57" s="1240"/>
      <c r="W57" s="1161">
        <v>11</v>
      </c>
    </row>
    <row customHeight="1" ht="11.549999999999999">
      <c r="F58" s="1236"/>
      <c r="G58" s="1245" t="s">
        <v>1090</v>
      </c>
      <c r="H58" s="1242">
        <f>SUM(I58:J58)</f>
        <v>0</v>
      </c>
      <c r="I58" s="1242">
        <f>SUM(I38,I48)</f>
        <v>0</v>
      </c>
      <c r="J58" s="1231"/>
      <c r="K58" s="1240"/>
      <c r="W58" s="1161">
        <v>11</v>
      </c>
    </row>
    <row customHeight="1" ht="10.5" hidden="1">
      <c r="A59" s="1172" t="s">
        <v>83</v>
      </c>
      <c r="B59" s="1172">
        <v>0</v>
      </c>
      <c r="C59" s="1172">
        <v>0</v>
      </c>
      <c r="D59" s="1166">
        <v>0</v>
      </c>
      <c r="E59" s="515">
        <v>3</v>
      </c>
      <c r="F59" s="1161">
        <v>6</v>
      </c>
      <c r="G59" s="1161">
        <v>60</v>
      </c>
      <c r="H59" s="1161">
        <v>0</v>
      </c>
      <c r="I59" s="1161">
        <v>0</v>
      </c>
      <c r="J59" s="1161">
        <v>0</v>
      </c>
      <c r="K59" s="1161">
        <v>1</v>
      </c>
      <c r="L59" s="1161">
        <v>8</v>
      </c>
      <c r="M59" s="1161">
        <v>8</v>
      </c>
      <c r="N59" s="1161">
        <v>8</v>
      </c>
      <c r="O59" s="1161">
        <v>8</v>
      </c>
      <c r="P59" s="1161">
        <v>8</v>
      </c>
      <c r="Q59" s="1161">
        <v>8</v>
      </c>
      <c r="R59" s="1161">
        <v>8</v>
      </c>
      <c r="S59" s="1161">
        <v>8</v>
      </c>
      <c r="T59" s="1161">
        <v>8</v>
      </c>
      <c r="U59" s="1161">
        <v>8</v>
      </c>
      <c r="V59" s="1161">
        <v>8</v>
      </c>
      <c r="W59" s="1161">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EEA0F2-B11F-2F37-3F6A-CF458391BE96}"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9" width="4.7109375" hidden="1" customWidth="1"/>
    <col min="2" max="2" style="942" width="4.7109375" hidden="1" customWidth="1"/>
    <col min="3" max="4" style="1069" width="4.7109375" hidden="1" customWidth="1"/>
    <col min="5" max="5" style="1069" width="3.00390625" customWidth="1"/>
    <col min="6" max="6" style="1069" width="6.00390625" customWidth="1"/>
    <col min="7" max="7" style="1069" width="18.00390625" customWidth="1"/>
    <col min="8" max="8" style="1069" width="27.00390625" customWidth="1"/>
    <col min="9" max="9" style="1069" width="18.00390625" customWidth="1"/>
    <col min="10" max="14" style="1069" width="0.8515625" hidden="1" customWidth="1"/>
    <col min="15" max="28" style="1069" width="21.7109375" hidden="1" customWidth="1"/>
    <col min="29" max="71" style="1069" width="0.8515625" hidden="1" customWidth="1"/>
    <col min="72" max="79" style="1069" width="21.7109375" customWidth="1"/>
    <col min="80" max="81" style="1069" width="29.140625" customWidth="1"/>
    <col min="82" max="89" style="1069" width="21.7109375" customWidth="1"/>
    <col min="90" max="102" style="1069" width="0.7109375" customWidth="1"/>
    <col min="103" max="114" style="1069" width="21.7109375" hidden="1" customWidth="1"/>
    <col min="115" max="178" style="1069" width="0.7109375" hidden="1" customWidth="1"/>
    <col min="179" max="179" style="1069" width="0.140625" customWidth="1"/>
    <col min="180" max="184" style="1069" width="8.00390625" customWidth="1"/>
    <col min="185" max="185" style="1069" width="9.140625" hidden="1"/>
  </cols>
  <sheetData>
    <row s="931" customFormat="1" customHeight="1" ht="12" hidden="1">
      <c r="B1" s="929"/>
      <c r="C1" s="930"/>
      <c r="D1" s="930"/>
      <c r="GC1" s="928" t="s">
        <v>14</v>
      </c>
    </row>
    <row s="931" customFormat="1" customHeight="1" ht="12" hidden="1">
      <c r="B2" s="929"/>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1"/>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c r="CL2" s="930"/>
      <c r="CM2" s="930"/>
      <c r="CN2" s="930"/>
      <c r="CO2" s="930"/>
      <c r="CP2" s="930"/>
      <c r="CQ2" s="930"/>
      <c r="CR2" s="930"/>
      <c r="CS2" s="930"/>
      <c r="CT2" s="930"/>
      <c r="CU2" s="930"/>
      <c r="CV2" s="930"/>
      <c r="CW2" s="930"/>
      <c r="CX2" s="930"/>
      <c r="CY2" s="930"/>
      <c r="CZ2" s="930"/>
      <c r="DA2" s="930"/>
      <c r="DB2" s="930"/>
      <c r="DC2" s="930"/>
      <c r="DD2" s="930"/>
      <c r="DE2" s="930"/>
      <c r="DF2" s="930"/>
      <c r="DG2" s="930"/>
      <c r="DH2" s="930"/>
      <c r="DI2" s="930"/>
      <c r="DJ2" s="930"/>
      <c r="DK2" s="930"/>
      <c r="DL2" s="930"/>
      <c r="DM2" s="930"/>
      <c r="DN2" s="930"/>
      <c r="DO2" s="930"/>
      <c r="DP2" s="930"/>
      <c r="DQ2" s="930"/>
      <c r="DR2" s="930"/>
      <c r="DS2" s="930"/>
      <c r="DT2" s="930"/>
      <c r="DU2" s="930"/>
      <c r="DV2" s="930"/>
      <c r="DW2" s="930"/>
      <c r="DX2" s="930"/>
      <c r="DY2" s="930"/>
      <c r="DZ2" s="930"/>
      <c r="EA2" s="930"/>
      <c r="EB2" s="930"/>
      <c r="EC2" s="930"/>
      <c r="ED2" s="930"/>
      <c r="EE2" s="930"/>
      <c r="EF2" s="930"/>
      <c r="EG2" s="930"/>
      <c r="EH2" s="930"/>
      <c r="EI2" s="930"/>
      <c r="EJ2" s="930"/>
      <c r="EK2" s="930"/>
      <c r="EL2" s="930"/>
      <c r="EM2" s="930"/>
      <c r="EN2" s="930"/>
      <c r="EO2" s="930"/>
      <c r="EP2" s="930"/>
      <c r="EQ2" s="930"/>
      <c r="ER2" s="930"/>
      <c r="ES2" s="930"/>
      <c r="ET2" s="930"/>
      <c r="EU2" s="930"/>
      <c r="EV2" s="930"/>
      <c r="EW2" s="930"/>
      <c r="EX2" s="930"/>
      <c r="EY2" s="930"/>
      <c r="EZ2" s="930"/>
      <c r="FA2" s="930"/>
      <c r="FB2" s="930"/>
      <c r="FC2" s="930"/>
      <c r="FD2" s="930"/>
      <c r="FE2" s="930"/>
      <c r="FF2" s="930"/>
      <c r="FG2" s="930"/>
      <c r="FH2" s="930"/>
      <c r="FI2" s="930"/>
      <c r="FJ2" s="930"/>
      <c r="FK2" s="930"/>
      <c r="FL2" s="930"/>
      <c r="FM2" s="930"/>
      <c r="FN2" s="930"/>
      <c r="FO2" s="930"/>
      <c r="FP2" s="930"/>
      <c r="FQ2" s="930"/>
      <c r="FR2" s="930"/>
      <c r="FS2" s="930"/>
      <c r="FT2" s="930"/>
      <c r="FU2" s="930"/>
      <c r="FV2" s="930"/>
      <c r="FW2" s="930"/>
      <c r="GC2" s="928">
        <v>0</v>
      </c>
    </row>
    <row s="931" customFormat="1" customHeight="1" ht="12" hidden="1">
      <c r="B3" s="929"/>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1"/>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c r="EA3" s="930"/>
      <c r="EB3" s="930"/>
      <c r="EC3" s="930"/>
      <c r="ED3" s="930"/>
      <c r="EE3" s="930"/>
      <c r="EF3" s="930"/>
      <c r="EG3" s="930"/>
      <c r="EH3" s="930"/>
      <c r="EI3" s="930"/>
      <c r="EJ3" s="930"/>
      <c r="EK3" s="930"/>
      <c r="EL3" s="930"/>
      <c r="EM3" s="930"/>
      <c r="EN3" s="930"/>
      <c r="EO3" s="930"/>
      <c r="EP3" s="930"/>
      <c r="EQ3" s="930"/>
      <c r="ER3" s="930"/>
      <c r="ES3" s="930"/>
      <c r="ET3" s="930"/>
      <c r="EU3" s="930"/>
      <c r="EV3" s="930"/>
      <c r="EW3" s="930"/>
      <c r="EX3" s="930"/>
      <c r="EY3" s="930"/>
      <c r="EZ3" s="930"/>
      <c r="FA3" s="930"/>
      <c r="FB3" s="930"/>
      <c r="FC3" s="930"/>
      <c r="FD3" s="930"/>
      <c r="FE3" s="930"/>
      <c r="FF3" s="930"/>
      <c r="FG3" s="930"/>
      <c r="FH3" s="930"/>
      <c r="FI3" s="930"/>
      <c r="FJ3" s="930"/>
      <c r="FK3" s="930"/>
      <c r="FL3" s="930"/>
      <c r="FM3" s="930"/>
      <c r="FN3" s="930"/>
      <c r="FO3" s="930"/>
      <c r="FP3" s="930"/>
      <c r="FQ3" s="930"/>
      <c r="FR3" s="930"/>
      <c r="FS3" s="930"/>
      <c r="FT3" s="930"/>
      <c r="FU3" s="930"/>
      <c r="FV3" s="930"/>
      <c r="FW3" s="930"/>
      <c r="GC3" s="928">
        <v>0</v>
      </c>
    </row>
    <row customHeight="1" ht="10.5">
      <c r="B4" s="933"/>
      <c r="C4" s="934"/>
      <c r="D4" s="934"/>
      <c r="E4" s="934"/>
      <c r="F4" s="934"/>
      <c r="G4" s="934"/>
      <c r="H4" s="935"/>
      <c r="I4" s="935"/>
      <c r="J4" s="935"/>
      <c r="K4" s="935"/>
      <c r="L4" s="935"/>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c r="DZ4" s="936"/>
      <c r="EA4" s="936"/>
      <c r="EB4" s="936"/>
      <c r="EC4" s="936"/>
      <c r="ED4" s="936"/>
      <c r="EE4" s="936"/>
      <c r="EF4" s="936"/>
      <c r="EG4" s="936"/>
      <c r="EH4" s="936"/>
      <c r="EI4" s="936"/>
      <c r="EJ4" s="936"/>
      <c r="EK4" s="936"/>
      <c r="EL4" s="936"/>
      <c r="EM4" s="936"/>
      <c r="EN4" s="936"/>
      <c r="EO4" s="936"/>
      <c r="EP4" s="936"/>
      <c r="EQ4" s="936"/>
      <c r="ER4" s="936"/>
      <c r="ES4" s="936"/>
      <c r="ET4" s="936"/>
      <c r="EU4" s="936"/>
      <c r="EV4" s="936"/>
      <c r="EW4" s="936"/>
      <c r="EX4" s="936"/>
      <c r="EY4" s="936"/>
      <c r="EZ4" s="936"/>
      <c r="FA4" s="936"/>
      <c r="FB4" s="936"/>
      <c r="FC4" s="936"/>
      <c r="FD4" s="936"/>
      <c r="FE4" s="936"/>
      <c r="FF4" s="936"/>
      <c r="FG4" s="936"/>
      <c r="FH4" s="936"/>
      <c r="FI4" s="936"/>
      <c r="FJ4" s="936"/>
      <c r="FK4" s="936"/>
      <c r="FL4" s="936"/>
      <c r="FM4" s="936"/>
      <c r="FN4" s="936"/>
      <c r="FO4" s="936"/>
      <c r="FP4" s="936"/>
      <c r="FQ4" s="936"/>
      <c r="FR4" s="936"/>
      <c r="FS4" s="936"/>
      <c r="FT4" s="936"/>
      <c r="FU4" s="936"/>
      <c r="FV4" s="936"/>
      <c r="FW4" s="936"/>
      <c r="GC4" s="932">
        <v>10</v>
      </c>
    </row>
    <row s="1879" customFormat="1" customHeight="1" ht="27.299999999999997">
      <c r="B5" s="1878"/>
      <c r="E5" s="1880"/>
      <c r="F5" s="24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c r="AD5" s="2175"/>
      <c r="AE5" s="2175"/>
      <c r="AF5" s="2175"/>
      <c r="AG5" s="2175"/>
      <c r="AH5" s="2175"/>
      <c r="AI5" s="2175"/>
      <c r="AJ5" s="2175"/>
      <c r="AK5" s="2175"/>
      <c r="AL5" s="2175"/>
      <c r="AM5" s="2175"/>
      <c r="AN5" s="2175"/>
      <c r="AO5" s="2175"/>
      <c r="AP5" s="2175"/>
      <c r="AQ5" s="2175"/>
      <c r="AR5" s="2175"/>
      <c r="AS5" s="2175"/>
      <c r="AT5" s="2175"/>
      <c r="AU5" s="2175"/>
      <c r="AV5" s="2175"/>
      <c r="AW5" s="2175"/>
      <c r="AX5" s="2175"/>
      <c r="AY5" s="2175"/>
      <c r="AZ5" s="2175"/>
      <c r="BA5" s="2175"/>
      <c r="BB5" s="2175"/>
      <c r="BC5" s="2175"/>
      <c r="BD5" s="2175"/>
      <c r="BE5" s="2175"/>
      <c r="BF5" s="2175"/>
      <c r="BG5" s="2175"/>
      <c r="BH5" s="2175"/>
      <c r="BI5" s="2175"/>
      <c r="BJ5" s="2175"/>
      <c r="BK5" s="2175"/>
      <c r="BL5" s="2175"/>
      <c r="BM5" s="2175"/>
      <c r="BN5" s="2175"/>
      <c r="BO5" s="2175"/>
      <c r="BP5" s="2175"/>
      <c r="BQ5" s="2175"/>
      <c r="BR5" s="2175"/>
      <c r="BS5" s="2175"/>
      <c r="GC5" s="1879">
        <v>26</v>
      </c>
    </row>
    <row s="2144" customFormat="1" customHeight="1" ht="18.75">
      <c r="B6" s="949"/>
      <c r="E6" s="951"/>
      <c r="F6" s="2220" t="str">
        <f>IF(org=0,"Не определено",org)</f>
        <v>АО «ДГК» СП «Нерюнгринская ГРЭС»</v>
      </c>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GC6" s="950">
        <v>18</v>
      </c>
    </row>
    <row s="939" customFormat="1" customHeight="1" ht="10.5">
      <c r="B7" s="938"/>
      <c r="E7" s="939"/>
      <c r="F7" s="939"/>
      <c r="G7" s="941"/>
      <c r="H7" s="935"/>
      <c r="I7" s="935"/>
      <c r="J7" s="935"/>
      <c r="K7" s="935"/>
      <c r="L7" s="935"/>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c r="GC7" s="937">
        <v>10</v>
      </c>
    </row>
    <row s="939" customFormat="1" customHeight="1" ht="11.25" hidden="1">
      <c r="B8" s="940"/>
      <c r="F8" s="1062"/>
      <c r="G8" s="769"/>
      <c r="H8" s="366"/>
      <c r="I8" s="366"/>
      <c r="J8" s="366"/>
      <c r="K8" s="366"/>
      <c r="L8" s="366"/>
      <c r="M8" s="1062"/>
      <c r="N8" s="1062"/>
      <c r="O8" s="2456" t="s">
        <v>1108</v>
      </c>
      <c r="P8" s="2457"/>
      <c r="Q8" s="2457"/>
      <c r="R8" s="2457"/>
      <c r="S8" s="2457"/>
      <c r="T8" s="2457"/>
      <c r="U8" s="2457"/>
      <c r="V8" s="2457"/>
      <c r="W8" s="2457"/>
      <c r="X8" s="2457"/>
      <c r="Y8" s="2457"/>
      <c r="Z8" s="2457"/>
      <c r="AA8" s="2457"/>
      <c r="AB8" s="2457"/>
      <c r="AC8" s="2457"/>
      <c r="AD8" s="2457"/>
      <c r="AE8" s="2457"/>
      <c r="AF8" s="2457"/>
      <c r="AG8" s="2457"/>
      <c r="AH8" s="2457"/>
      <c r="AI8" s="2457"/>
      <c r="AJ8" s="2457"/>
      <c r="AK8" s="2457"/>
      <c r="AL8" s="2457"/>
      <c r="AM8" s="2457"/>
      <c r="AN8" s="2457"/>
      <c r="AO8" s="2457"/>
      <c r="AP8" s="2457"/>
      <c r="AQ8" s="2457"/>
      <c r="AR8" s="2457"/>
      <c r="AS8" s="2457"/>
      <c r="AT8" s="2457"/>
      <c r="AU8" s="2457"/>
      <c r="AV8" s="2457"/>
      <c r="AW8" s="2457"/>
      <c r="AX8" s="2457"/>
      <c r="AY8" s="2457"/>
      <c r="AZ8" s="2457"/>
      <c r="BA8" s="2457"/>
      <c r="BB8" s="2457"/>
      <c r="BC8" s="2457"/>
      <c r="BD8" s="2457"/>
      <c r="BE8" s="2457"/>
      <c r="BF8" s="2457"/>
      <c r="BG8" s="2457"/>
      <c r="BH8" s="2457"/>
      <c r="BI8" s="2457"/>
      <c r="BJ8" s="2457"/>
      <c r="BK8" s="2457"/>
      <c r="BL8" s="2457"/>
      <c r="BM8" s="2457"/>
      <c r="BN8" s="2457"/>
      <c r="BO8" s="2457"/>
      <c r="BP8" s="2457"/>
      <c r="BQ8" s="2457"/>
      <c r="BR8" s="2457"/>
      <c r="BS8" s="2458"/>
      <c r="BT8" s="2445"/>
      <c r="BU8" s="2446"/>
      <c r="BV8" s="2446"/>
      <c r="BW8" s="2446"/>
      <c r="BX8" s="2446"/>
      <c r="BY8" s="2446"/>
      <c r="BZ8" s="2446"/>
      <c r="CA8" s="2446"/>
      <c r="CB8" s="2446"/>
      <c r="CC8" s="2446"/>
      <c r="CD8" s="2446"/>
      <c r="CE8" s="2446"/>
      <c r="CF8" s="2446"/>
      <c r="CG8" s="2446"/>
      <c r="CH8" s="2446"/>
      <c r="CI8" s="2446"/>
      <c r="CJ8" s="2446"/>
      <c r="CK8" s="2446"/>
      <c r="CL8" s="2446"/>
      <c r="CM8" s="2446"/>
      <c r="CN8" s="2446"/>
      <c r="CO8" s="2446"/>
      <c r="CP8" s="2446"/>
      <c r="CQ8" s="2446"/>
      <c r="CR8" s="2446"/>
      <c r="CS8" s="2446"/>
      <c r="CT8" s="2446"/>
      <c r="CU8" s="2446"/>
      <c r="CV8" s="2446"/>
      <c r="CW8" s="2446"/>
      <c r="CX8" s="2447"/>
      <c r="CY8" s="2448"/>
      <c r="CZ8" s="2449"/>
      <c r="DA8" s="2449"/>
      <c r="DB8" s="2449"/>
      <c r="DC8" s="2449"/>
      <c r="DD8" s="2449"/>
      <c r="DE8" s="2449"/>
      <c r="DF8" s="2449"/>
      <c r="DG8" s="2449"/>
      <c r="DH8" s="2449"/>
      <c r="DI8" s="2449"/>
      <c r="DJ8" s="2449"/>
      <c r="DK8" s="2449"/>
      <c r="DL8" s="2449"/>
      <c r="DM8" s="2449"/>
      <c r="DN8" s="2449"/>
      <c r="DO8" s="2449"/>
      <c r="DP8" s="2449"/>
      <c r="DQ8" s="2449"/>
      <c r="DR8" s="2449"/>
      <c r="DS8" s="2449"/>
      <c r="DT8" s="2449"/>
      <c r="DU8" s="2449"/>
      <c r="DV8" s="2449"/>
      <c r="DW8" s="2449"/>
      <c r="DX8" s="2450"/>
      <c r="DY8" s="2451" t="s">
        <v>1109</v>
      </c>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452"/>
      <c r="FU8" s="2452"/>
      <c r="FV8" s="2452"/>
      <c r="FW8" s="2453"/>
      <c r="FX8" s="1062"/>
      <c r="GC8" s="939">
        <v>0</v>
      </c>
    </row>
    <row s="939" customFormat="1" customHeight="1" ht="11.25" hidden="1">
      <c r="B9" s="940"/>
      <c r="F9" s="1062"/>
      <c r="G9" s="769"/>
      <c r="H9" s="366"/>
      <c r="I9" s="366"/>
      <c r="J9" s="366"/>
      <c r="K9" s="366"/>
      <c r="L9" s="366"/>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c r="AU9" s="1062"/>
      <c r="AV9" s="1062"/>
      <c r="AW9" s="1062"/>
      <c r="AX9" s="1062"/>
      <c r="AY9" s="1062"/>
      <c r="AZ9" s="1062"/>
      <c r="BA9" s="1062"/>
      <c r="BB9" s="1062"/>
      <c r="BC9" s="1062"/>
      <c r="BD9" s="1062"/>
      <c r="BE9" s="1062"/>
      <c r="BF9" s="1062"/>
      <c r="BG9" s="1062"/>
      <c r="BH9" s="1062"/>
      <c r="BI9" s="1062"/>
      <c r="BJ9" s="1062"/>
      <c r="BK9" s="1062"/>
      <c r="BL9" s="1062"/>
      <c r="BM9" s="1062"/>
      <c r="BN9" s="1062"/>
      <c r="BO9" s="1062"/>
      <c r="BP9" s="1062"/>
      <c r="BQ9" s="1062"/>
      <c r="BR9" s="1062"/>
      <c r="BS9" s="1062"/>
      <c r="BT9" s="1062"/>
      <c r="BU9" s="1062"/>
      <c r="BV9" s="1062"/>
      <c r="BW9" s="1062"/>
      <c r="BX9" s="1062"/>
      <c r="BY9" s="1062"/>
      <c r="BZ9" s="1062"/>
      <c r="CA9" s="1062"/>
      <c r="CB9" s="1062"/>
      <c r="CC9" s="1062"/>
      <c r="CD9" s="1062"/>
      <c r="CE9" s="1062"/>
      <c r="CF9" s="1062"/>
      <c r="CG9" s="1062"/>
      <c r="CH9" s="1062"/>
      <c r="CI9" s="1062"/>
      <c r="CJ9" s="1062"/>
      <c r="CK9" s="1062"/>
      <c r="CL9" s="1062"/>
      <c r="CM9" s="1062"/>
      <c r="CN9" s="1062"/>
      <c r="CO9" s="1062"/>
      <c r="CP9" s="1062"/>
      <c r="CQ9" s="1062"/>
      <c r="CR9" s="1062"/>
      <c r="CS9" s="1062"/>
      <c r="CT9" s="1062"/>
      <c r="CU9" s="1062"/>
      <c r="CV9" s="1062"/>
      <c r="CW9" s="1062"/>
      <c r="CX9" s="1062"/>
      <c r="CY9" s="1062"/>
      <c r="CZ9" s="1062"/>
      <c r="DA9" s="1062"/>
      <c r="DB9" s="1062"/>
      <c r="DC9" s="1062"/>
      <c r="DD9" s="1062"/>
      <c r="DE9" s="1062"/>
      <c r="DF9" s="1062"/>
      <c r="DG9" s="1062"/>
      <c r="DH9" s="1062"/>
      <c r="DI9" s="1062"/>
      <c r="DJ9" s="1062"/>
      <c r="DK9" s="1062"/>
      <c r="DL9" s="1062"/>
      <c r="DM9" s="1062"/>
      <c r="DN9" s="1062"/>
      <c r="DO9" s="1062"/>
      <c r="DP9" s="1062"/>
      <c r="DQ9" s="1062"/>
      <c r="DR9" s="1062"/>
      <c r="DS9" s="1062"/>
      <c r="DT9" s="1062"/>
      <c r="DU9" s="1062"/>
      <c r="DV9" s="1062"/>
      <c r="DW9" s="1062"/>
      <c r="DX9" s="1062"/>
      <c r="DY9" s="1062"/>
      <c r="DZ9" s="1062"/>
      <c r="EA9" s="1062"/>
      <c r="EB9" s="1062"/>
      <c r="EC9" s="1062"/>
      <c r="ED9" s="1062"/>
      <c r="EE9" s="1062"/>
      <c r="EF9" s="1062"/>
      <c r="EG9" s="1062"/>
      <c r="EH9" s="1062"/>
      <c r="EI9" s="1062"/>
      <c r="EJ9" s="1062"/>
      <c r="EK9" s="1062"/>
      <c r="EL9" s="1062"/>
      <c r="EM9" s="1062"/>
      <c r="EN9" s="1062"/>
      <c r="EO9" s="1062"/>
      <c r="EP9" s="1062"/>
      <c r="EQ9" s="1062"/>
      <c r="ER9" s="1062"/>
      <c r="ES9" s="1062"/>
      <c r="ET9" s="1062"/>
      <c r="EU9" s="1062"/>
      <c r="EV9" s="1062"/>
      <c r="EW9" s="1062"/>
      <c r="EX9" s="1062"/>
      <c r="EY9" s="1062"/>
      <c r="EZ9" s="1062"/>
      <c r="FA9" s="1062"/>
      <c r="FB9" s="1062"/>
      <c r="FC9" s="1062"/>
      <c r="FD9" s="1062"/>
      <c r="FE9" s="1062"/>
      <c r="FF9" s="1062"/>
      <c r="FG9" s="1062"/>
      <c r="FH9" s="1062"/>
      <c r="FI9" s="1062"/>
      <c r="FJ9" s="1062"/>
      <c r="FK9" s="1062"/>
      <c r="FL9" s="1062"/>
      <c r="FM9" s="1062"/>
      <c r="FN9" s="1062"/>
      <c r="FO9" s="1062"/>
      <c r="FP9" s="1062"/>
      <c r="FQ9" s="1062"/>
      <c r="FR9" s="1062"/>
      <c r="FS9" s="1062"/>
      <c r="FT9" s="1062"/>
      <c r="FU9" s="1062"/>
      <c r="FV9" s="1062"/>
      <c r="FW9" s="2454"/>
      <c r="FX9" s="1062"/>
      <c r="GC9" s="939">
        <v>0</v>
      </c>
    </row>
    <row s="939" customFormat="1" customHeight="1" ht="11.549999999999999">
      <c r="B10" s="940"/>
      <c r="F10" s="2435" t="s">
        <v>316</v>
      </c>
      <c r="G10" s="2436"/>
      <c r="H10" s="2436"/>
      <c r="I10" s="2436"/>
      <c r="J10" s="2436"/>
      <c r="K10" s="2436"/>
      <c r="L10" s="2436"/>
      <c r="M10" s="2436"/>
      <c r="N10" s="2436"/>
      <c r="O10" s="2436"/>
      <c r="P10" s="2436"/>
      <c r="Q10" s="2436"/>
      <c r="R10" s="2436"/>
      <c r="S10" s="2436"/>
      <c r="T10" s="2436"/>
      <c r="U10" s="2436"/>
      <c r="V10" s="2436"/>
      <c r="W10" s="2436"/>
      <c r="X10" s="2436"/>
      <c r="Y10" s="2436"/>
      <c r="Z10" s="2436"/>
      <c r="AA10" s="2436"/>
      <c r="AB10" s="2436"/>
      <c r="AC10" s="2436"/>
      <c r="AD10" s="2436"/>
      <c r="AE10" s="2436"/>
      <c r="AF10" s="2436"/>
      <c r="AG10" s="2436"/>
      <c r="AH10" s="2436"/>
      <c r="AI10" s="2436"/>
      <c r="AJ10" s="2436"/>
      <c r="AK10" s="2436"/>
      <c r="AL10" s="2436"/>
      <c r="AM10" s="2436"/>
      <c r="AN10" s="2436"/>
      <c r="AO10" s="2436"/>
      <c r="AP10" s="2436"/>
      <c r="AQ10" s="2436"/>
      <c r="AR10" s="2436"/>
      <c r="AS10" s="2436"/>
      <c r="AT10" s="2436"/>
      <c r="AU10" s="2436"/>
      <c r="AV10" s="2436"/>
      <c r="AW10" s="2436"/>
      <c r="AX10" s="2436"/>
      <c r="AY10" s="2436"/>
      <c r="AZ10" s="2436"/>
      <c r="BA10" s="2436"/>
      <c r="BB10" s="2436"/>
      <c r="BC10" s="2436"/>
      <c r="BD10" s="2436"/>
      <c r="BE10" s="2436"/>
      <c r="BF10" s="2436"/>
      <c r="BG10" s="2436"/>
      <c r="BH10" s="2436"/>
      <c r="BI10" s="2436"/>
      <c r="BJ10" s="2436"/>
      <c r="BK10" s="2436"/>
      <c r="BL10" s="2436"/>
      <c r="BM10" s="2436"/>
      <c r="BN10" s="2436"/>
      <c r="BO10" s="2436"/>
      <c r="BP10" s="2436"/>
      <c r="BQ10" s="2436"/>
      <c r="BR10" s="2436"/>
      <c r="BS10" s="2436"/>
      <c r="BT10" s="2436"/>
      <c r="BU10" s="2436"/>
      <c r="BV10" s="2436"/>
      <c r="BW10" s="2436"/>
      <c r="BX10" s="2436"/>
      <c r="BY10" s="2436"/>
      <c r="BZ10" s="2436"/>
      <c r="CA10" s="2436"/>
      <c r="CB10" s="2436"/>
      <c r="CC10" s="2436"/>
      <c r="CD10" s="2436"/>
      <c r="CE10" s="2436"/>
      <c r="CF10" s="2436"/>
      <c r="CG10" s="2436"/>
      <c r="CH10" s="2436"/>
      <c r="CI10" s="2436"/>
      <c r="CJ10" s="2436"/>
      <c r="CK10" s="2436"/>
      <c r="CL10" s="2436"/>
      <c r="CM10" s="2436"/>
      <c r="CN10" s="2436"/>
      <c r="CO10" s="2436"/>
      <c r="CP10" s="2436"/>
      <c r="CQ10" s="2436"/>
      <c r="CR10" s="2436"/>
      <c r="CS10" s="2436"/>
      <c r="CT10" s="2436"/>
      <c r="CU10" s="2436"/>
      <c r="CV10" s="2436"/>
      <c r="CW10" s="2436"/>
      <c r="CX10" s="2436"/>
      <c r="CY10" s="2436"/>
      <c r="CZ10" s="2436"/>
      <c r="DA10" s="2436"/>
      <c r="DB10" s="2436"/>
      <c r="DC10" s="2436"/>
      <c r="DD10" s="2436"/>
      <c r="DE10" s="2436"/>
      <c r="DF10" s="2436"/>
      <c r="DG10" s="2436"/>
      <c r="DH10" s="2436"/>
      <c r="DI10" s="2436"/>
      <c r="DJ10" s="2436"/>
      <c r="DK10" s="2436"/>
      <c r="DL10" s="2436"/>
      <c r="DM10" s="2436"/>
      <c r="DN10" s="2436"/>
      <c r="DO10" s="2436"/>
      <c r="DP10" s="2436"/>
      <c r="DQ10" s="2436"/>
      <c r="DR10" s="2436"/>
      <c r="DS10" s="2436"/>
      <c r="DT10" s="2436"/>
      <c r="DU10" s="2436"/>
      <c r="DV10" s="2436"/>
      <c r="DW10" s="2436"/>
      <c r="DX10" s="2436"/>
      <c r="DY10" s="2436"/>
      <c r="DZ10" s="2436"/>
      <c r="EA10" s="2436"/>
      <c r="EB10" s="2436"/>
      <c r="EC10" s="2436"/>
      <c r="ED10" s="2436"/>
      <c r="EE10" s="2436"/>
      <c r="EF10" s="2436"/>
      <c r="EG10" s="2436"/>
      <c r="EH10" s="2436"/>
      <c r="EI10" s="2436"/>
      <c r="EJ10" s="2436"/>
      <c r="EK10" s="2436"/>
      <c r="EL10" s="2436"/>
      <c r="EM10" s="2436"/>
      <c r="EN10" s="2436"/>
      <c r="EO10" s="2436"/>
      <c r="EP10" s="2436"/>
      <c r="EQ10" s="2436"/>
      <c r="ER10" s="2436"/>
      <c r="ES10" s="2436"/>
      <c r="ET10" s="2436"/>
      <c r="EU10" s="2436"/>
      <c r="EV10" s="2436"/>
      <c r="EW10" s="2436"/>
      <c r="EX10" s="2436"/>
      <c r="EY10" s="2436"/>
      <c r="EZ10" s="2436"/>
      <c r="FA10" s="2436"/>
      <c r="FB10" s="2436"/>
      <c r="FC10" s="2436"/>
      <c r="FD10" s="2436"/>
      <c r="FE10" s="2436"/>
      <c r="FF10" s="2436"/>
      <c r="FG10" s="2436"/>
      <c r="FH10" s="2436"/>
      <c r="FI10" s="2436"/>
      <c r="FJ10" s="2436"/>
      <c r="FK10" s="2436"/>
      <c r="FL10" s="2436"/>
      <c r="FM10" s="2436"/>
      <c r="FN10" s="2436"/>
      <c r="FO10" s="2436"/>
      <c r="FP10" s="2436"/>
      <c r="FQ10" s="2436"/>
      <c r="FR10" s="2436"/>
      <c r="FS10" s="2436"/>
      <c r="FT10" s="2436"/>
      <c r="FU10" s="2436"/>
      <c r="FV10" s="2437"/>
      <c r="FW10" s="2454"/>
      <c r="FX10" s="1062"/>
      <c r="GC10" s="939">
        <v>11</v>
      </c>
    </row>
    <row customHeight="1" ht="12.75">
      <c r="E11" s="943"/>
      <c r="F11" s="2211" t="s">
        <v>89</v>
      </c>
      <c r="G11" s="2211" t="s">
        <v>1110</v>
      </c>
      <c r="H11" s="2443" t="s">
        <v>1111</v>
      </c>
      <c r="I11" s="2443" t="s">
        <v>1112</v>
      </c>
      <c r="J11" s="2444"/>
      <c r="K11" s="2444"/>
      <c r="L11" s="2444"/>
      <c r="M11" s="2444"/>
      <c r="N11" s="2444"/>
      <c r="O11" s="2215" t="s">
        <v>1113</v>
      </c>
      <c r="P11" s="2215"/>
      <c r="Q11" s="2215"/>
      <c r="R11" s="2215"/>
      <c r="S11" s="2215"/>
      <c r="T11" s="2215"/>
      <c r="U11" s="2215"/>
      <c r="V11" s="2215"/>
      <c r="W11" s="2215"/>
      <c r="X11" s="2215"/>
      <c r="Y11" s="2215"/>
      <c r="Z11" s="2215"/>
      <c r="AA11" s="2215"/>
      <c r="AB11" s="2215"/>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59"/>
      <c r="BT11" s="2392" t="s">
        <v>1113</v>
      </c>
      <c r="BU11" s="2393"/>
      <c r="BV11" s="2393"/>
      <c r="BW11" s="2393"/>
      <c r="BX11" s="2393"/>
      <c r="BY11" s="2393"/>
      <c r="BZ11" s="2393"/>
      <c r="CA11" s="2393"/>
      <c r="CB11" s="2393"/>
      <c r="CC11" s="2393"/>
      <c r="CD11" s="2393"/>
      <c r="CE11" s="2393"/>
      <c r="CF11" s="2393"/>
      <c r="CG11" s="2393"/>
      <c r="CH11" s="2393"/>
      <c r="CI11" s="2393"/>
      <c r="CJ11" s="2393"/>
      <c r="CK11" s="2439"/>
      <c r="CL11" s="2442"/>
      <c r="CM11" s="2440"/>
      <c r="CN11" s="2440"/>
      <c r="CO11" s="2440"/>
      <c r="CP11" s="2440"/>
      <c r="CQ11" s="2440"/>
      <c r="CR11" s="2440"/>
      <c r="CS11" s="2440"/>
      <c r="CT11" s="2440"/>
      <c r="CU11" s="2440"/>
      <c r="CV11" s="2440"/>
      <c r="CW11" s="2440"/>
      <c r="CX11" s="2459"/>
      <c r="CY11" s="2392" t="s">
        <v>1113</v>
      </c>
      <c r="CZ11" s="2393"/>
      <c r="DA11" s="2393"/>
      <c r="DB11" s="2393"/>
      <c r="DC11" s="2393"/>
      <c r="DD11" s="2393"/>
      <c r="DE11" s="2393"/>
      <c r="DF11" s="2393"/>
      <c r="DG11" s="2393"/>
      <c r="DH11" s="2393"/>
      <c r="DI11" s="2393"/>
      <c r="DJ11" s="2439"/>
      <c r="DK11" s="2442"/>
      <c r="DL11" s="2440"/>
      <c r="DM11" s="2440"/>
      <c r="DN11" s="2440"/>
      <c r="DO11" s="2440"/>
      <c r="DP11" s="2440"/>
      <c r="DQ11" s="2440"/>
      <c r="DR11" s="2440"/>
      <c r="DS11" s="2440"/>
      <c r="DT11" s="2440"/>
      <c r="DU11" s="2440"/>
      <c r="DV11" s="2440"/>
      <c r="DW11" s="2440"/>
      <c r="DX11" s="2440"/>
      <c r="DY11" s="2440"/>
      <c r="DZ11" s="2440"/>
      <c r="EA11" s="2440"/>
      <c r="EB11" s="2440"/>
      <c r="EC11" s="2440"/>
      <c r="ED11" s="2440"/>
      <c r="EE11" s="2440"/>
      <c r="EF11" s="2440"/>
      <c r="EG11" s="2440"/>
      <c r="EH11" s="2440"/>
      <c r="EI11" s="2440"/>
      <c r="EJ11" s="2440"/>
      <c r="EK11" s="2440"/>
      <c r="EL11" s="2440"/>
      <c r="EM11" s="2440"/>
      <c r="EN11" s="2440"/>
      <c r="EO11" s="2440"/>
      <c r="EP11" s="2440"/>
      <c r="EQ11" s="2440"/>
      <c r="ER11" s="2440"/>
      <c r="ES11" s="2440"/>
      <c r="ET11" s="2440"/>
      <c r="EU11" s="2440"/>
      <c r="EV11" s="2440"/>
      <c r="EW11" s="2440"/>
      <c r="EX11" s="2440"/>
      <c r="EY11" s="2440"/>
      <c r="EZ11" s="2440"/>
      <c r="FA11" s="2440"/>
      <c r="FB11" s="2440"/>
      <c r="FC11" s="2440"/>
      <c r="FD11" s="2440"/>
      <c r="FE11" s="2440"/>
      <c r="FF11" s="2440"/>
      <c r="FG11" s="2440"/>
      <c r="FH11" s="2440"/>
      <c r="FI11" s="2440"/>
      <c r="FJ11" s="2440"/>
      <c r="FK11" s="2440"/>
      <c r="FL11" s="2440"/>
      <c r="FM11" s="2440"/>
      <c r="FN11" s="2440"/>
      <c r="FO11" s="2440"/>
      <c r="FP11" s="2440"/>
      <c r="FQ11" s="2440"/>
      <c r="FR11" s="2440"/>
      <c r="FS11" s="2440"/>
      <c r="FT11" s="2440"/>
      <c r="FU11" s="2440"/>
      <c r="FV11" s="2440"/>
      <c r="FW11" s="2454"/>
      <c r="FX11" s="768"/>
      <c r="GC11" s="932">
        <v>12</v>
      </c>
    </row>
    <row customHeight="1" ht="12.75">
      <c r="D12" s="944"/>
      <c r="E12" s="943"/>
      <c r="F12" s="2211"/>
      <c r="G12" s="2211"/>
      <c r="H12" s="2443"/>
      <c r="I12" s="2443"/>
      <c r="J12" s="2444"/>
      <c r="K12" s="2444"/>
      <c r="L12" s="2444"/>
      <c r="M12" s="2444"/>
      <c r="N12" s="2444"/>
      <c r="O12" s="2215" t="s">
        <v>1114</v>
      </c>
      <c r="P12" s="2215"/>
      <c r="Q12" s="2215"/>
      <c r="R12" s="2215"/>
      <c r="S12" s="2215" t="s">
        <v>1115</v>
      </c>
      <c r="T12" s="2215"/>
      <c r="U12" s="2215"/>
      <c r="V12" s="2215"/>
      <c r="W12" s="2215"/>
      <c r="X12" s="2215"/>
      <c r="Y12" s="2215"/>
      <c r="Z12" s="2215"/>
      <c r="AA12" s="2215"/>
      <c r="AB12" s="2215"/>
      <c r="AC12" s="2440"/>
      <c r="AD12" s="2440"/>
      <c r="AE12" s="2440"/>
      <c r="AF12" s="2440"/>
      <c r="AG12" s="2440"/>
      <c r="AH12" s="2440"/>
      <c r="AI12" s="2440"/>
      <c r="AJ12" s="2440"/>
      <c r="AK12" s="2440"/>
      <c r="AL12" s="2440"/>
      <c r="AM12" s="2440"/>
      <c r="AN12" s="2440"/>
      <c r="AO12" s="2440"/>
      <c r="AP12" s="2440"/>
      <c r="AQ12" s="2440"/>
      <c r="AR12" s="2440"/>
      <c r="AS12" s="2440"/>
      <c r="AT12" s="2440"/>
      <c r="AU12" s="2440"/>
      <c r="AV12" s="2440"/>
      <c r="AW12" s="2440"/>
      <c r="AX12" s="2440"/>
      <c r="AY12" s="2440"/>
      <c r="AZ12" s="2440"/>
      <c r="BA12" s="2440"/>
      <c r="BB12" s="2440"/>
      <c r="BC12" s="2440"/>
      <c r="BD12" s="2440"/>
      <c r="BE12" s="2440"/>
      <c r="BF12" s="2440"/>
      <c r="BG12" s="2440"/>
      <c r="BH12" s="2440"/>
      <c r="BI12" s="2440"/>
      <c r="BJ12" s="2440"/>
      <c r="BK12" s="2440"/>
      <c r="BL12" s="2440"/>
      <c r="BM12" s="2440"/>
      <c r="BN12" s="2440"/>
      <c r="BO12" s="2440"/>
      <c r="BP12" s="2440"/>
      <c r="BQ12" s="2440"/>
      <c r="BR12" s="2440"/>
      <c r="BS12" s="2459"/>
      <c r="BT12" s="2392" t="s">
        <v>1116</v>
      </c>
      <c r="BU12" s="2393"/>
      <c r="BV12" s="2393"/>
      <c r="BW12" s="2439"/>
      <c r="BX12" s="2392" t="s">
        <v>1117</v>
      </c>
      <c r="BY12" s="2393"/>
      <c r="BZ12" s="2393"/>
      <c r="CA12" s="2439"/>
      <c r="CB12" s="2392" t="s">
        <v>1118</v>
      </c>
      <c r="CC12" s="2439"/>
      <c r="CD12" s="2392" t="s">
        <v>1119</v>
      </c>
      <c r="CE12" s="2393"/>
      <c r="CF12" s="2393"/>
      <c r="CG12" s="2393"/>
      <c r="CH12" s="2393"/>
      <c r="CI12" s="2393"/>
      <c r="CJ12" s="2393"/>
      <c r="CK12" s="2439"/>
      <c r="CL12" s="2442"/>
      <c r="CM12" s="2440"/>
      <c r="CN12" s="2440"/>
      <c r="CO12" s="2440"/>
      <c r="CP12" s="2440"/>
      <c r="CQ12" s="2440"/>
      <c r="CR12" s="2440"/>
      <c r="CS12" s="2440"/>
      <c r="CT12" s="2440"/>
      <c r="CU12" s="2440"/>
      <c r="CV12" s="2440"/>
      <c r="CW12" s="2440"/>
      <c r="CX12" s="2459"/>
      <c r="CY12" s="2392" t="s">
        <v>1120</v>
      </c>
      <c r="CZ12" s="2393"/>
      <c r="DA12" s="2393"/>
      <c r="DB12" s="2393"/>
      <c r="DC12" s="2393"/>
      <c r="DD12" s="2439"/>
      <c r="DE12" s="2392" t="s">
        <v>1121</v>
      </c>
      <c r="DF12" s="2439"/>
      <c r="DG12" s="2392" t="s">
        <v>1119</v>
      </c>
      <c r="DH12" s="2393"/>
      <c r="DI12" s="2393"/>
      <c r="DJ12" s="2439"/>
      <c r="DK12" s="2442"/>
      <c r="DL12" s="2440"/>
      <c r="DM12" s="2440"/>
      <c r="DN12" s="2440"/>
      <c r="DO12" s="2440"/>
      <c r="DP12" s="2440"/>
      <c r="DQ12" s="2440"/>
      <c r="DR12" s="2440"/>
      <c r="DS12" s="2440"/>
      <c r="DT12" s="2440"/>
      <c r="DU12" s="2440"/>
      <c r="DV12" s="2440"/>
      <c r="DW12" s="2440"/>
      <c r="DX12" s="2440"/>
      <c r="DY12" s="2440"/>
      <c r="DZ12" s="2440"/>
      <c r="EA12" s="2440"/>
      <c r="EB12" s="2440"/>
      <c r="EC12" s="2440"/>
      <c r="ED12" s="2440"/>
      <c r="EE12" s="2440"/>
      <c r="EF12" s="2440"/>
      <c r="EG12" s="2440"/>
      <c r="EH12" s="2440"/>
      <c r="EI12" s="2440"/>
      <c r="EJ12" s="2440"/>
      <c r="EK12" s="2440"/>
      <c r="EL12" s="2440"/>
      <c r="EM12" s="2440"/>
      <c r="EN12" s="2440"/>
      <c r="EO12" s="2440"/>
      <c r="EP12" s="2440"/>
      <c r="EQ12" s="2440"/>
      <c r="ER12" s="2440"/>
      <c r="ES12" s="2440"/>
      <c r="ET12" s="2440"/>
      <c r="EU12" s="2440"/>
      <c r="EV12" s="2440"/>
      <c r="EW12" s="2440"/>
      <c r="EX12" s="2440"/>
      <c r="EY12" s="2440"/>
      <c r="EZ12" s="2440"/>
      <c r="FA12" s="2440"/>
      <c r="FB12" s="2440"/>
      <c r="FC12" s="2440"/>
      <c r="FD12" s="2440"/>
      <c r="FE12" s="2440"/>
      <c r="FF12" s="2440"/>
      <c r="FG12" s="2440"/>
      <c r="FH12" s="2440"/>
      <c r="FI12" s="2440"/>
      <c r="FJ12" s="2440"/>
      <c r="FK12" s="2440"/>
      <c r="FL12" s="2440"/>
      <c r="FM12" s="2440"/>
      <c r="FN12" s="2440"/>
      <c r="FO12" s="2440"/>
      <c r="FP12" s="2440"/>
      <c r="FQ12" s="2440"/>
      <c r="FR12" s="2440"/>
      <c r="FS12" s="2440"/>
      <c r="FT12" s="2440"/>
      <c r="FU12" s="2440"/>
      <c r="FV12" s="2440"/>
      <c r="FW12" s="2454"/>
      <c r="FX12" s="768"/>
      <c r="GC12" s="932">
        <v>12</v>
      </c>
    </row>
    <row customHeight="1" ht="37.8">
      <c r="D13" s="944"/>
      <c r="E13" s="943"/>
      <c r="F13" s="2211"/>
      <c r="G13" s="2211"/>
      <c r="H13" s="2443"/>
      <c r="I13" s="2443"/>
      <c r="J13" s="2444"/>
      <c r="K13" s="2444"/>
      <c r="L13" s="2444"/>
      <c r="M13" s="2444"/>
      <c r="N13" s="2444"/>
      <c r="O13" s="2215" t="s">
        <v>1122</v>
      </c>
      <c r="P13" s="2215"/>
      <c r="Q13" s="2215"/>
      <c r="R13" s="2215"/>
      <c r="S13" s="2342" t="s">
        <v>1123</v>
      </c>
      <c r="T13" s="2394"/>
      <c r="U13" s="2133" t="s">
        <v>1124</v>
      </c>
      <c r="V13" s="2133"/>
      <c r="W13" s="2133"/>
      <c r="X13" s="2133"/>
      <c r="Y13" s="2133" t="s">
        <v>1125</v>
      </c>
      <c r="Z13" s="2133"/>
      <c r="AA13" s="2133"/>
      <c r="AB13" s="2133"/>
      <c r="AC13" s="2440"/>
      <c r="AD13" s="2440"/>
      <c r="AE13" s="2440"/>
      <c r="AF13" s="2440"/>
      <c r="AG13" s="2440"/>
      <c r="AH13" s="2440"/>
      <c r="AI13" s="2440"/>
      <c r="AJ13" s="2440"/>
      <c r="AK13" s="2440"/>
      <c r="AL13" s="2440"/>
      <c r="AM13" s="2440"/>
      <c r="AN13" s="2440"/>
      <c r="AO13" s="2440"/>
      <c r="AP13" s="2440"/>
      <c r="AQ13" s="2440"/>
      <c r="AR13" s="2440"/>
      <c r="AS13" s="2440"/>
      <c r="AT13" s="2440"/>
      <c r="AU13" s="2440"/>
      <c r="AV13" s="2440"/>
      <c r="AW13" s="2440"/>
      <c r="AX13" s="2440"/>
      <c r="AY13" s="2440"/>
      <c r="AZ13" s="2440"/>
      <c r="BA13" s="2440"/>
      <c r="BB13" s="2440"/>
      <c r="BC13" s="2440"/>
      <c r="BD13" s="2440"/>
      <c r="BE13" s="2440"/>
      <c r="BF13" s="2440"/>
      <c r="BG13" s="2440"/>
      <c r="BH13" s="2440"/>
      <c r="BI13" s="2440"/>
      <c r="BJ13" s="2440"/>
      <c r="BK13" s="2440"/>
      <c r="BL13" s="2440"/>
      <c r="BM13" s="2440"/>
      <c r="BN13" s="2440"/>
      <c r="BO13" s="2440"/>
      <c r="BP13" s="2440"/>
      <c r="BQ13" s="2440"/>
      <c r="BR13" s="2440"/>
      <c r="BS13" s="2459"/>
      <c r="BT13" s="2342" t="s">
        <v>1126</v>
      </c>
      <c r="BU13" s="2394"/>
      <c r="BV13" s="2342" t="s">
        <v>1127</v>
      </c>
      <c r="BW13" s="2394"/>
      <c r="BX13" s="2342" t="s">
        <v>1128</v>
      </c>
      <c r="BY13" s="2394"/>
      <c r="BZ13" s="2342" t="s">
        <v>1129</v>
      </c>
      <c r="CA13" s="2394"/>
      <c r="CB13" s="2342" t="s">
        <v>1130</v>
      </c>
      <c r="CC13" s="2394"/>
      <c r="CD13" s="2342" t="s">
        <v>1131</v>
      </c>
      <c r="CE13" s="2394"/>
      <c r="CF13" s="2342" t="s">
        <v>1132</v>
      </c>
      <c r="CG13" s="2394"/>
      <c r="CH13" s="2392" t="s">
        <v>1133</v>
      </c>
      <c r="CI13" s="2393"/>
      <c r="CJ13" s="2393"/>
      <c r="CK13" s="2439"/>
      <c r="CL13" s="2442"/>
      <c r="CM13" s="2440"/>
      <c r="CN13" s="2440"/>
      <c r="CO13" s="2440"/>
      <c r="CP13" s="2440"/>
      <c r="CQ13" s="2440"/>
      <c r="CR13" s="2440"/>
      <c r="CS13" s="2440"/>
      <c r="CT13" s="2440"/>
      <c r="CU13" s="2440"/>
      <c r="CV13" s="2440"/>
      <c r="CW13" s="2440"/>
      <c r="CX13" s="2459"/>
      <c r="CY13" s="2342" t="s">
        <v>1134</v>
      </c>
      <c r="CZ13" s="2394"/>
      <c r="DA13" s="2342" t="s">
        <v>1135</v>
      </c>
      <c r="DB13" s="2394"/>
      <c r="DC13" s="2342" t="s">
        <v>1136</v>
      </c>
      <c r="DD13" s="2394"/>
      <c r="DE13" s="2342" t="s">
        <v>1137</v>
      </c>
      <c r="DF13" s="2394"/>
      <c r="DG13" s="2392" t="s">
        <v>1138</v>
      </c>
      <c r="DH13" s="2393"/>
      <c r="DI13" s="2393"/>
      <c r="DJ13" s="2439"/>
      <c r="DK13" s="2442"/>
      <c r="DL13" s="2440"/>
      <c r="DM13" s="2440"/>
      <c r="DN13" s="2440"/>
      <c r="DO13" s="2440"/>
      <c r="DP13" s="2440"/>
      <c r="DQ13" s="2440"/>
      <c r="DR13" s="2440"/>
      <c r="DS13" s="2440"/>
      <c r="DT13" s="2440"/>
      <c r="DU13" s="2440"/>
      <c r="DV13" s="2440"/>
      <c r="DW13" s="2440"/>
      <c r="DX13" s="2440"/>
      <c r="DY13" s="2440"/>
      <c r="DZ13" s="2440"/>
      <c r="EA13" s="2440"/>
      <c r="EB13" s="2440"/>
      <c r="EC13" s="2440"/>
      <c r="ED13" s="2440"/>
      <c r="EE13" s="2440"/>
      <c r="EF13" s="2440"/>
      <c r="EG13" s="2440"/>
      <c r="EH13" s="2440"/>
      <c r="EI13" s="2440"/>
      <c r="EJ13" s="2440"/>
      <c r="EK13" s="2440"/>
      <c r="EL13" s="2440"/>
      <c r="EM13" s="2440"/>
      <c r="EN13" s="2440"/>
      <c r="EO13" s="2440"/>
      <c r="EP13" s="2440"/>
      <c r="EQ13" s="2440"/>
      <c r="ER13" s="2440"/>
      <c r="ES13" s="2440"/>
      <c r="ET13" s="2440"/>
      <c r="EU13" s="2440"/>
      <c r="EV13" s="2440"/>
      <c r="EW13" s="2440"/>
      <c r="EX13" s="2440"/>
      <c r="EY13" s="2440"/>
      <c r="EZ13" s="2440"/>
      <c r="FA13" s="2440"/>
      <c r="FB13" s="2440"/>
      <c r="FC13" s="2440"/>
      <c r="FD13" s="2440"/>
      <c r="FE13" s="2440"/>
      <c r="FF13" s="2440"/>
      <c r="FG13" s="2440"/>
      <c r="FH13" s="2440"/>
      <c r="FI13" s="2440"/>
      <c r="FJ13" s="2440"/>
      <c r="FK13" s="2440"/>
      <c r="FL13" s="2440"/>
      <c r="FM13" s="2440"/>
      <c r="FN13" s="2440"/>
      <c r="FO13" s="2440"/>
      <c r="FP13" s="2440"/>
      <c r="FQ13" s="2440"/>
      <c r="FR13" s="2440"/>
      <c r="FS13" s="2440"/>
      <c r="FT13" s="2440"/>
      <c r="FU13" s="2440"/>
      <c r="FV13" s="2440"/>
      <c r="FW13" s="2454"/>
      <c r="FX13" s="768"/>
      <c r="GC13" s="932">
        <v>36</v>
      </c>
    </row>
    <row customHeight="1" ht="37.8">
      <c r="D14" s="944"/>
      <c r="E14" s="943"/>
      <c r="F14" s="2211"/>
      <c r="G14" s="2211"/>
      <c r="H14" s="2443"/>
      <c r="I14" s="2443"/>
      <c r="J14" s="2444"/>
      <c r="K14" s="2444"/>
      <c r="L14" s="2444"/>
      <c r="M14" s="2444"/>
      <c r="N14" s="2444"/>
      <c r="O14" s="2342" t="s">
        <v>1139</v>
      </c>
      <c r="P14" s="2394"/>
      <c r="Q14" s="2342" t="s">
        <v>1140</v>
      </c>
      <c r="R14" s="2394"/>
      <c r="S14" s="2343"/>
      <c r="T14" s="2219"/>
      <c r="U14" s="2342" t="s">
        <v>872</v>
      </c>
      <c r="V14" s="2394"/>
      <c r="W14" s="2342" t="s">
        <v>875</v>
      </c>
      <c r="X14" s="2394"/>
      <c r="Y14" s="2342" t="s">
        <v>872</v>
      </c>
      <c r="Z14" s="2394"/>
      <c r="AA14" s="2342" t="s">
        <v>882</v>
      </c>
      <c r="AB14" s="2394"/>
      <c r="AC14" s="2440"/>
      <c r="AD14" s="2440"/>
      <c r="AE14" s="2440"/>
      <c r="AF14" s="2440"/>
      <c r="AG14" s="2440"/>
      <c r="AH14" s="2440"/>
      <c r="AI14" s="2440"/>
      <c r="AJ14" s="2440"/>
      <c r="AK14" s="2440"/>
      <c r="AL14" s="2440"/>
      <c r="AM14" s="2440"/>
      <c r="AN14" s="2440"/>
      <c r="AO14" s="2440"/>
      <c r="AP14" s="2440"/>
      <c r="AQ14" s="2440"/>
      <c r="AR14" s="2440"/>
      <c r="AS14" s="2440"/>
      <c r="AT14" s="2440"/>
      <c r="AU14" s="2440"/>
      <c r="AV14" s="2440"/>
      <c r="AW14" s="2440"/>
      <c r="AX14" s="2440"/>
      <c r="AY14" s="2440"/>
      <c r="AZ14" s="2440"/>
      <c r="BA14" s="2440"/>
      <c r="BB14" s="2440"/>
      <c r="BC14" s="2440"/>
      <c r="BD14" s="2440"/>
      <c r="BE14" s="2440"/>
      <c r="BF14" s="2440"/>
      <c r="BG14" s="2440"/>
      <c r="BH14" s="2440"/>
      <c r="BI14" s="2440"/>
      <c r="BJ14" s="2440"/>
      <c r="BK14" s="2440"/>
      <c r="BL14" s="2440"/>
      <c r="BM14" s="2440"/>
      <c r="BN14" s="2440"/>
      <c r="BO14" s="2440"/>
      <c r="BP14" s="2440"/>
      <c r="BQ14" s="2440"/>
      <c r="BR14" s="2440"/>
      <c r="BS14" s="2459"/>
      <c r="BT14" s="2343"/>
      <c r="BU14" s="2219"/>
      <c r="BV14" s="2343"/>
      <c r="BW14" s="2219"/>
      <c r="BX14" s="2343"/>
      <c r="BY14" s="2219"/>
      <c r="BZ14" s="2343"/>
      <c r="CA14" s="2219"/>
      <c r="CB14" s="2343"/>
      <c r="CC14" s="2219"/>
      <c r="CD14" s="2343"/>
      <c r="CE14" s="2219"/>
      <c r="CF14" s="2343"/>
      <c r="CG14" s="2219"/>
      <c r="CH14" s="2342" t="s">
        <v>1141</v>
      </c>
      <c r="CI14" s="2394"/>
      <c r="CJ14" s="2342" t="s">
        <v>1142</v>
      </c>
      <c r="CK14" s="2394"/>
      <c r="CL14" s="2442"/>
      <c r="CM14" s="2440"/>
      <c r="CN14" s="2440"/>
      <c r="CO14" s="2440"/>
      <c r="CP14" s="2440"/>
      <c r="CQ14" s="2440"/>
      <c r="CR14" s="2440"/>
      <c r="CS14" s="2440"/>
      <c r="CT14" s="2440"/>
      <c r="CU14" s="2440"/>
      <c r="CV14" s="2440"/>
      <c r="CW14" s="2440"/>
      <c r="CX14" s="2459"/>
      <c r="CY14" s="2343"/>
      <c r="CZ14" s="2219"/>
      <c r="DA14" s="2343"/>
      <c r="DB14" s="2219"/>
      <c r="DC14" s="2343"/>
      <c r="DD14" s="2219"/>
      <c r="DE14" s="2343"/>
      <c r="DF14" s="2219"/>
      <c r="DG14" s="2342" t="s">
        <v>1143</v>
      </c>
      <c r="DH14" s="2394"/>
      <c r="DI14" s="2342" t="s">
        <v>1144</v>
      </c>
      <c r="DJ14" s="2394"/>
      <c r="DK14" s="2442"/>
      <c r="DL14" s="2440"/>
      <c r="DM14" s="2440"/>
      <c r="DN14" s="2440"/>
      <c r="DO14" s="2440"/>
      <c r="DP14" s="2440"/>
      <c r="DQ14" s="2440"/>
      <c r="DR14" s="2440"/>
      <c r="DS14" s="2440"/>
      <c r="DT14" s="2440"/>
      <c r="DU14" s="2440"/>
      <c r="DV14" s="2440"/>
      <c r="DW14" s="2440"/>
      <c r="DX14" s="2440"/>
      <c r="DY14" s="2440"/>
      <c r="DZ14" s="2440"/>
      <c r="EA14" s="2440"/>
      <c r="EB14" s="2440"/>
      <c r="EC14" s="2440"/>
      <c r="ED14" s="2440"/>
      <c r="EE14" s="2440"/>
      <c r="EF14" s="2440"/>
      <c r="EG14" s="2440"/>
      <c r="EH14" s="2440"/>
      <c r="EI14" s="2440"/>
      <c r="EJ14" s="2440"/>
      <c r="EK14" s="2440"/>
      <c r="EL14" s="2440"/>
      <c r="EM14" s="2440"/>
      <c r="EN14" s="2440"/>
      <c r="EO14" s="2440"/>
      <c r="EP14" s="2440"/>
      <c r="EQ14" s="2440"/>
      <c r="ER14" s="2440"/>
      <c r="ES14" s="2440"/>
      <c r="ET14" s="2440"/>
      <c r="EU14" s="2440"/>
      <c r="EV14" s="2440"/>
      <c r="EW14" s="2440"/>
      <c r="EX14" s="2440"/>
      <c r="EY14" s="2440"/>
      <c r="EZ14" s="2440"/>
      <c r="FA14" s="2440"/>
      <c r="FB14" s="2440"/>
      <c r="FC14" s="2440"/>
      <c r="FD14" s="2440"/>
      <c r="FE14" s="2440"/>
      <c r="FF14" s="2440"/>
      <c r="FG14" s="2440"/>
      <c r="FH14" s="2440"/>
      <c r="FI14" s="2440"/>
      <c r="FJ14" s="2440"/>
      <c r="FK14" s="2440"/>
      <c r="FL14" s="2440"/>
      <c r="FM14" s="2440"/>
      <c r="FN14" s="2440"/>
      <c r="FO14" s="2440"/>
      <c r="FP14" s="2440"/>
      <c r="FQ14" s="2440"/>
      <c r="FR14" s="2440"/>
      <c r="FS14" s="2440"/>
      <c r="FT14" s="2440"/>
      <c r="FU14" s="2440"/>
      <c r="FV14" s="2440"/>
      <c r="FW14" s="2454"/>
      <c r="FX14" s="768"/>
      <c r="GC14" s="932">
        <v>36</v>
      </c>
    </row>
    <row customHeight="1" ht="37.8">
      <c r="D15" s="944"/>
      <c r="E15" s="943"/>
      <c r="F15" s="2211"/>
      <c r="G15" s="2211"/>
      <c r="H15" s="2443"/>
      <c r="I15" s="2443"/>
      <c r="J15" s="2444"/>
      <c r="K15" s="2444"/>
      <c r="L15" s="2444"/>
      <c r="M15" s="2444"/>
      <c r="N15" s="2444"/>
      <c r="O15" s="2344"/>
      <c r="P15" s="2441"/>
      <c r="Q15" s="2344"/>
      <c r="R15" s="2441"/>
      <c r="S15" s="2344"/>
      <c r="T15" s="2441"/>
      <c r="U15" s="2344"/>
      <c r="V15" s="2441"/>
      <c r="W15" s="2344"/>
      <c r="X15" s="2441"/>
      <c r="Y15" s="2344"/>
      <c r="Z15" s="2441"/>
      <c r="AA15" s="2344"/>
      <c r="AB15" s="2441"/>
      <c r="AC15" s="2440"/>
      <c r="AD15" s="2440"/>
      <c r="AE15" s="2440"/>
      <c r="AF15" s="2440"/>
      <c r="AG15" s="2440"/>
      <c r="AH15" s="2440"/>
      <c r="AI15" s="2440"/>
      <c r="AJ15" s="2440"/>
      <c r="AK15" s="2440"/>
      <c r="AL15" s="2440"/>
      <c r="AM15" s="2440"/>
      <c r="AN15" s="2440"/>
      <c r="AO15" s="2440"/>
      <c r="AP15" s="2440"/>
      <c r="AQ15" s="2440"/>
      <c r="AR15" s="2440"/>
      <c r="AS15" s="2440"/>
      <c r="AT15" s="2440"/>
      <c r="AU15" s="2440"/>
      <c r="AV15" s="2440"/>
      <c r="AW15" s="2440"/>
      <c r="AX15" s="2440"/>
      <c r="AY15" s="2440"/>
      <c r="AZ15" s="2440"/>
      <c r="BA15" s="2440"/>
      <c r="BB15" s="2440"/>
      <c r="BC15" s="2440"/>
      <c r="BD15" s="2440"/>
      <c r="BE15" s="2440"/>
      <c r="BF15" s="2440"/>
      <c r="BG15" s="2440"/>
      <c r="BH15" s="2440"/>
      <c r="BI15" s="2440"/>
      <c r="BJ15" s="2440"/>
      <c r="BK15" s="2440"/>
      <c r="BL15" s="2440"/>
      <c r="BM15" s="2440"/>
      <c r="BN15" s="2440"/>
      <c r="BO15" s="2440"/>
      <c r="BP15" s="2440"/>
      <c r="BQ15" s="2440"/>
      <c r="BR15" s="2440"/>
      <c r="BS15" s="2459"/>
      <c r="BT15" s="2344"/>
      <c r="BU15" s="2441"/>
      <c r="BV15" s="2344"/>
      <c r="BW15" s="2441"/>
      <c r="BX15" s="2344"/>
      <c r="BY15" s="2441"/>
      <c r="BZ15" s="2344"/>
      <c r="CA15" s="2441"/>
      <c r="CB15" s="2344"/>
      <c r="CC15" s="2441"/>
      <c r="CD15" s="2344"/>
      <c r="CE15" s="2441"/>
      <c r="CF15" s="2344"/>
      <c r="CG15" s="2441"/>
      <c r="CH15" s="2344"/>
      <c r="CI15" s="2441"/>
      <c r="CJ15" s="2344"/>
      <c r="CK15" s="2441"/>
      <c r="CL15" s="2442"/>
      <c r="CM15" s="2440"/>
      <c r="CN15" s="2440"/>
      <c r="CO15" s="2440"/>
      <c r="CP15" s="2440"/>
      <c r="CQ15" s="2440"/>
      <c r="CR15" s="2440"/>
      <c r="CS15" s="2440"/>
      <c r="CT15" s="2440"/>
      <c r="CU15" s="2440"/>
      <c r="CV15" s="2440"/>
      <c r="CW15" s="2440"/>
      <c r="CX15" s="2459"/>
      <c r="CY15" s="2344"/>
      <c r="CZ15" s="2441"/>
      <c r="DA15" s="2344"/>
      <c r="DB15" s="2441"/>
      <c r="DC15" s="2344"/>
      <c r="DD15" s="2441"/>
      <c r="DE15" s="2344"/>
      <c r="DF15" s="2441"/>
      <c r="DG15" s="2344"/>
      <c r="DH15" s="2441"/>
      <c r="DI15" s="2344"/>
      <c r="DJ15" s="2441"/>
      <c r="DK15" s="2442"/>
      <c r="DL15" s="2440"/>
      <c r="DM15" s="2440"/>
      <c r="DN15" s="2440"/>
      <c r="DO15" s="2440"/>
      <c r="DP15" s="2440"/>
      <c r="DQ15" s="2440"/>
      <c r="DR15" s="2440"/>
      <c r="DS15" s="2440"/>
      <c r="DT15" s="2440"/>
      <c r="DU15" s="2440"/>
      <c r="DV15" s="2440"/>
      <c r="DW15" s="2440"/>
      <c r="DX15" s="2440"/>
      <c r="DY15" s="2440"/>
      <c r="DZ15" s="2440"/>
      <c r="EA15" s="2440"/>
      <c r="EB15" s="2440"/>
      <c r="EC15" s="2440"/>
      <c r="ED15" s="2440"/>
      <c r="EE15" s="2440"/>
      <c r="EF15" s="2440"/>
      <c r="EG15" s="2440"/>
      <c r="EH15" s="2440"/>
      <c r="EI15" s="2440"/>
      <c r="EJ15" s="2440"/>
      <c r="EK15" s="2440"/>
      <c r="EL15" s="2440"/>
      <c r="EM15" s="2440"/>
      <c r="EN15" s="2440"/>
      <c r="EO15" s="2440"/>
      <c r="EP15" s="2440"/>
      <c r="EQ15" s="2440"/>
      <c r="ER15" s="2440"/>
      <c r="ES15" s="2440"/>
      <c r="ET15" s="2440"/>
      <c r="EU15" s="2440"/>
      <c r="EV15" s="2440"/>
      <c r="EW15" s="2440"/>
      <c r="EX15" s="2440"/>
      <c r="EY15" s="2440"/>
      <c r="EZ15" s="2440"/>
      <c r="FA15" s="2440"/>
      <c r="FB15" s="2440"/>
      <c r="FC15" s="2440"/>
      <c r="FD15" s="2440"/>
      <c r="FE15" s="2440"/>
      <c r="FF15" s="2440"/>
      <c r="FG15" s="2440"/>
      <c r="FH15" s="2440"/>
      <c r="FI15" s="2440"/>
      <c r="FJ15" s="2440"/>
      <c r="FK15" s="2440"/>
      <c r="FL15" s="2440"/>
      <c r="FM15" s="2440"/>
      <c r="FN15" s="2440"/>
      <c r="FO15" s="2440"/>
      <c r="FP15" s="2440"/>
      <c r="FQ15" s="2440"/>
      <c r="FR15" s="2440"/>
      <c r="FS15" s="2440"/>
      <c r="FT15" s="2440"/>
      <c r="FU15" s="2440"/>
      <c r="FV15" s="2440"/>
      <c r="FW15" s="2454"/>
      <c r="FX15" s="768"/>
      <c r="GC15" s="932">
        <v>36</v>
      </c>
    </row>
    <row customHeight="1" ht="12.75">
      <c r="D16" s="944"/>
      <c r="E16" s="943"/>
      <c r="F16" s="2211"/>
      <c r="G16" s="2211"/>
      <c r="H16" s="2443"/>
      <c r="I16" s="2443"/>
      <c r="J16" s="2444"/>
      <c r="K16" s="2444"/>
      <c r="L16" s="2444"/>
      <c r="M16" s="2444"/>
      <c r="N16" s="2444"/>
      <c r="O16" s="2392" t="s">
        <v>862</v>
      </c>
      <c r="P16" s="2439"/>
      <c r="Q16" s="2392" t="s">
        <v>864</v>
      </c>
      <c r="R16" s="2439"/>
      <c r="S16" s="2392" t="s">
        <v>868</v>
      </c>
      <c r="T16" s="2439"/>
      <c r="U16" s="2392" t="s">
        <v>873</v>
      </c>
      <c r="V16" s="2439"/>
      <c r="W16" s="2392" t="s">
        <v>876</v>
      </c>
      <c r="X16" s="2439"/>
      <c r="Y16" s="2392" t="s">
        <v>880</v>
      </c>
      <c r="Z16" s="2439"/>
      <c r="AA16" s="2392" t="s">
        <v>883</v>
      </c>
      <c r="AB16" s="2439"/>
      <c r="AC16" s="2440"/>
      <c r="AD16" s="2440"/>
      <c r="AE16" s="2440"/>
      <c r="AF16" s="2440"/>
      <c r="AG16" s="2440"/>
      <c r="AH16" s="2440"/>
      <c r="AI16" s="2440"/>
      <c r="AJ16" s="2440"/>
      <c r="AK16" s="2440"/>
      <c r="AL16" s="2440"/>
      <c r="AM16" s="2440"/>
      <c r="AN16" s="2440"/>
      <c r="AO16" s="2440"/>
      <c r="AP16" s="2440"/>
      <c r="AQ16" s="2440"/>
      <c r="AR16" s="2440"/>
      <c r="AS16" s="2440"/>
      <c r="AT16" s="2440"/>
      <c r="AU16" s="2440"/>
      <c r="AV16" s="2440"/>
      <c r="AW16" s="2440"/>
      <c r="AX16" s="2440"/>
      <c r="AY16" s="2440"/>
      <c r="AZ16" s="2440"/>
      <c r="BA16" s="2440"/>
      <c r="BB16" s="2440"/>
      <c r="BC16" s="2440"/>
      <c r="BD16" s="2440"/>
      <c r="BE16" s="2440"/>
      <c r="BF16" s="2440"/>
      <c r="BG16" s="2440"/>
      <c r="BH16" s="2440"/>
      <c r="BI16" s="2440"/>
      <c r="BJ16" s="2440"/>
      <c r="BK16" s="2440"/>
      <c r="BL16" s="2440"/>
      <c r="BM16" s="2440"/>
      <c r="BN16" s="2440"/>
      <c r="BO16" s="2440"/>
      <c r="BP16" s="2440"/>
      <c r="BQ16" s="2440"/>
      <c r="BR16" s="2440"/>
      <c r="BS16" s="2459"/>
      <c r="BT16" s="2392" t="s">
        <v>595</v>
      </c>
      <c r="BU16" s="2439"/>
      <c r="BV16" s="2392" t="s">
        <v>595</v>
      </c>
      <c r="BW16" s="2439"/>
      <c r="BX16" s="2392" t="s">
        <v>595</v>
      </c>
      <c r="BY16" s="2439"/>
      <c r="BZ16" s="2392" t="s">
        <v>595</v>
      </c>
      <c r="CA16" s="2439"/>
      <c r="CB16" s="2392" t="s">
        <v>1145</v>
      </c>
      <c r="CC16" s="2439"/>
      <c r="CD16" s="2392" t="s">
        <v>595</v>
      </c>
      <c r="CE16" s="2439"/>
      <c r="CF16" s="2392" t="s">
        <v>1146</v>
      </c>
      <c r="CG16" s="2439"/>
      <c r="CH16" s="2392" t="s">
        <v>1147</v>
      </c>
      <c r="CI16" s="2439"/>
      <c r="CJ16" s="2392" t="s">
        <v>1147</v>
      </c>
      <c r="CK16" s="2439"/>
      <c r="CL16" s="2442"/>
      <c r="CM16" s="2440"/>
      <c r="CN16" s="2440"/>
      <c r="CO16" s="2440"/>
      <c r="CP16" s="2440"/>
      <c r="CQ16" s="2440"/>
      <c r="CR16" s="2440"/>
      <c r="CS16" s="2440"/>
      <c r="CT16" s="2440"/>
      <c r="CU16" s="2440"/>
      <c r="CV16" s="2440"/>
      <c r="CW16" s="2440"/>
      <c r="CX16" s="2459"/>
      <c r="CY16" s="2342" t="s">
        <v>595</v>
      </c>
      <c r="CZ16" s="2394"/>
      <c r="DA16" s="2342" t="s">
        <v>595</v>
      </c>
      <c r="DB16" s="2394"/>
      <c r="DC16" s="2342" t="s">
        <v>595</v>
      </c>
      <c r="DD16" s="2394"/>
      <c r="DE16" s="2392" t="s">
        <v>1145</v>
      </c>
      <c r="DF16" s="2439"/>
      <c r="DG16" s="2392" t="s">
        <v>1148</v>
      </c>
      <c r="DH16" s="2439"/>
      <c r="DI16" s="2392" t="s">
        <v>1148</v>
      </c>
      <c r="DJ16" s="2439"/>
      <c r="DK16" s="2442"/>
      <c r="DL16" s="2440"/>
      <c r="DM16" s="2440"/>
      <c r="DN16" s="2440"/>
      <c r="DO16" s="2440"/>
      <c r="DP16" s="2440"/>
      <c r="DQ16" s="2440"/>
      <c r="DR16" s="2440"/>
      <c r="DS16" s="2440"/>
      <c r="DT16" s="2440"/>
      <c r="DU16" s="2440"/>
      <c r="DV16" s="2440"/>
      <c r="DW16" s="2440"/>
      <c r="DX16" s="2440"/>
      <c r="DY16" s="2440"/>
      <c r="DZ16" s="2440"/>
      <c r="EA16" s="2440"/>
      <c r="EB16" s="2440"/>
      <c r="EC16" s="2440"/>
      <c r="ED16" s="2440"/>
      <c r="EE16" s="2440"/>
      <c r="EF16" s="2440"/>
      <c r="EG16" s="2440"/>
      <c r="EH16" s="2440"/>
      <c r="EI16" s="2440"/>
      <c r="EJ16" s="2440"/>
      <c r="EK16" s="2440"/>
      <c r="EL16" s="2440"/>
      <c r="EM16" s="2440"/>
      <c r="EN16" s="2440"/>
      <c r="EO16" s="2440"/>
      <c r="EP16" s="2440"/>
      <c r="EQ16" s="2440"/>
      <c r="ER16" s="2440"/>
      <c r="ES16" s="2440"/>
      <c r="ET16" s="2440"/>
      <c r="EU16" s="2440"/>
      <c r="EV16" s="2440"/>
      <c r="EW16" s="2440"/>
      <c r="EX16" s="2440"/>
      <c r="EY16" s="2440"/>
      <c r="EZ16" s="2440"/>
      <c r="FA16" s="2440"/>
      <c r="FB16" s="2440"/>
      <c r="FC16" s="2440"/>
      <c r="FD16" s="2440"/>
      <c r="FE16" s="2440"/>
      <c r="FF16" s="2440"/>
      <c r="FG16" s="2440"/>
      <c r="FH16" s="2440"/>
      <c r="FI16" s="2440"/>
      <c r="FJ16" s="2440"/>
      <c r="FK16" s="2440"/>
      <c r="FL16" s="2440"/>
      <c r="FM16" s="2440"/>
      <c r="FN16" s="2440"/>
      <c r="FO16" s="2440"/>
      <c r="FP16" s="2440"/>
      <c r="FQ16" s="2440"/>
      <c r="FR16" s="2440"/>
      <c r="FS16" s="2440"/>
      <c r="FT16" s="2440"/>
      <c r="FU16" s="2440"/>
      <c r="FV16" s="2440"/>
      <c r="FW16" s="2454"/>
      <c r="FX16" s="768"/>
      <c r="GC16" s="932">
        <v>12</v>
      </c>
    </row>
    <row customHeight="1" ht="15.75">
      <c r="E17" s="943"/>
      <c r="F17" s="2211"/>
      <c r="G17" s="2211"/>
      <c r="H17" s="2443"/>
      <c r="I17" s="2443"/>
      <c r="J17" s="2444"/>
      <c r="K17" s="2444"/>
      <c r="L17" s="2444"/>
      <c r="M17" s="2444"/>
      <c r="N17" s="2444"/>
      <c r="O17" s="1197" t="s">
        <v>1149</v>
      </c>
      <c r="P17" s="1197" t="s">
        <v>1150</v>
      </c>
      <c r="Q17" s="1197" t="s">
        <v>1149</v>
      </c>
      <c r="R17" s="1197" t="s">
        <v>1150</v>
      </c>
      <c r="S17" s="1197" t="s">
        <v>1149</v>
      </c>
      <c r="T17" s="1197" t="s">
        <v>1150</v>
      </c>
      <c r="U17" s="1197" t="s">
        <v>1149</v>
      </c>
      <c r="V17" s="1197" t="s">
        <v>1150</v>
      </c>
      <c r="W17" s="1197" t="s">
        <v>1149</v>
      </c>
      <c r="X17" s="1197" t="s">
        <v>1150</v>
      </c>
      <c r="Y17" s="1197" t="s">
        <v>1149</v>
      </c>
      <c r="Z17" s="1197" t="s">
        <v>1150</v>
      </c>
      <c r="AA17" s="1197" t="s">
        <v>1149</v>
      </c>
      <c r="AB17" s="1197" t="s">
        <v>1150</v>
      </c>
      <c r="AC17" s="2440"/>
      <c r="AD17" s="2440"/>
      <c r="AE17" s="2440"/>
      <c r="AF17" s="2440"/>
      <c r="AG17" s="2440"/>
      <c r="AH17" s="2440"/>
      <c r="AI17" s="2440"/>
      <c r="AJ17" s="2440"/>
      <c r="AK17" s="2440"/>
      <c r="AL17" s="2440"/>
      <c r="AM17" s="2440"/>
      <c r="AN17" s="2440"/>
      <c r="AO17" s="2440"/>
      <c r="AP17" s="2440"/>
      <c r="AQ17" s="2440"/>
      <c r="AR17" s="2440"/>
      <c r="AS17" s="2440"/>
      <c r="AT17" s="2440"/>
      <c r="AU17" s="2440"/>
      <c r="AV17" s="2440"/>
      <c r="AW17" s="2440"/>
      <c r="AX17" s="2440"/>
      <c r="AY17" s="2440"/>
      <c r="AZ17" s="2440"/>
      <c r="BA17" s="2440"/>
      <c r="BB17" s="2440"/>
      <c r="BC17" s="2440"/>
      <c r="BD17" s="2440"/>
      <c r="BE17" s="2440"/>
      <c r="BF17" s="2440"/>
      <c r="BG17" s="2440"/>
      <c r="BH17" s="2440"/>
      <c r="BI17" s="2440"/>
      <c r="BJ17" s="2440"/>
      <c r="BK17" s="2440"/>
      <c r="BL17" s="2440"/>
      <c r="BM17" s="2440"/>
      <c r="BN17" s="2440"/>
      <c r="BO17" s="2440"/>
      <c r="BP17" s="2440"/>
      <c r="BQ17" s="2440"/>
      <c r="BR17" s="2440"/>
      <c r="BS17" s="2459"/>
      <c r="BT17" s="1197" t="s">
        <v>1149</v>
      </c>
      <c r="BU17" s="1197" t="s">
        <v>1150</v>
      </c>
      <c r="BV17" s="1197" t="s">
        <v>1149</v>
      </c>
      <c r="BW17" s="1197" t="s">
        <v>1150</v>
      </c>
      <c r="BX17" s="1197" t="s">
        <v>1149</v>
      </c>
      <c r="BY17" s="1197" t="s">
        <v>1150</v>
      </c>
      <c r="BZ17" s="1197" t="s">
        <v>1149</v>
      </c>
      <c r="CA17" s="1197" t="s">
        <v>1150</v>
      </c>
      <c r="CB17" s="1197" t="s">
        <v>1149</v>
      </c>
      <c r="CC17" s="1197" t="s">
        <v>1150</v>
      </c>
      <c r="CD17" s="1197" t="s">
        <v>1149</v>
      </c>
      <c r="CE17" s="1197" t="s">
        <v>1150</v>
      </c>
      <c r="CF17" s="1197" t="s">
        <v>1149</v>
      </c>
      <c r="CG17" s="1197" t="s">
        <v>1150</v>
      </c>
      <c r="CH17" s="1197" t="s">
        <v>1149</v>
      </c>
      <c r="CI17" s="1197" t="s">
        <v>1150</v>
      </c>
      <c r="CJ17" s="1197" t="s">
        <v>1149</v>
      </c>
      <c r="CK17" s="1197" t="s">
        <v>1150</v>
      </c>
      <c r="CL17" s="2442"/>
      <c r="CM17" s="2440"/>
      <c r="CN17" s="2440"/>
      <c r="CO17" s="2440"/>
      <c r="CP17" s="2440"/>
      <c r="CQ17" s="2440"/>
      <c r="CR17" s="2440"/>
      <c r="CS17" s="2440"/>
      <c r="CT17" s="2440"/>
      <c r="CU17" s="2440"/>
      <c r="CV17" s="2440"/>
      <c r="CW17" s="2440"/>
      <c r="CX17" s="2459"/>
      <c r="CY17" s="1197" t="s">
        <v>1149</v>
      </c>
      <c r="CZ17" s="1197" t="s">
        <v>1150</v>
      </c>
      <c r="DA17" s="1197" t="s">
        <v>1149</v>
      </c>
      <c r="DB17" s="1197" t="s">
        <v>1150</v>
      </c>
      <c r="DC17" s="1197" t="s">
        <v>1149</v>
      </c>
      <c r="DD17" s="1197" t="s">
        <v>1150</v>
      </c>
      <c r="DE17" s="1197" t="s">
        <v>1149</v>
      </c>
      <c r="DF17" s="1197" t="s">
        <v>1150</v>
      </c>
      <c r="DG17" s="1197" t="s">
        <v>1149</v>
      </c>
      <c r="DH17" s="1197" t="s">
        <v>1150</v>
      </c>
      <c r="DI17" s="1197" t="s">
        <v>1149</v>
      </c>
      <c r="DJ17" s="1197" t="s">
        <v>1150</v>
      </c>
      <c r="DK17" s="2442"/>
      <c r="DL17" s="2440"/>
      <c r="DM17" s="2440"/>
      <c r="DN17" s="2440"/>
      <c r="DO17" s="2440"/>
      <c r="DP17" s="2440"/>
      <c r="DQ17" s="2440"/>
      <c r="DR17" s="2440"/>
      <c r="DS17" s="2440"/>
      <c r="DT17" s="2440"/>
      <c r="DU17" s="2440"/>
      <c r="DV17" s="2440"/>
      <c r="DW17" s="2440"/>
      <c r="DX17" s="2440"/>
      <c r="DY17" s="2440"/>
      <c r="DZ17" s="2440"/>
      <c r="EA17" s="2440"/>
      <c r="EB17" s="2440"/>
      <c r="EC17" s="2440"/>
      <c r="ED17" s="2440"/>
      <c r="EE17" s="2440"/>
      <c r="EF17" s="2440"/>
      <c r="EG17" s="2440"/>
      <c r="EH17" s="2440"/>
      <c r="EI17" s="2440"/>
      <c r="EJ17" s="2440"/>
      <c r="EK17" s="2440"/>
      <c r="EL17" s="2440"/>
      <c r="EM17" s="2440"/>
      <c r="EN17" s="2440"/>
      <c r="EO17" s="2440"/>
      <c r="EP17" s="2440"/>
      <c r="EQ17" s="2440"/>
      <c r="ER17" s="2440"/>
      <c r="ES17" s="2440"/>
      <c r="ET17" s="2440"/>
      <c r="EU17" s="2440"/>
      <c r="EV17" s="2440"/>
      <c r="EW17" s="2440"/>
      <c r="EX17" s="2440"/>
      <c r="EY17" s="2440"/>
      <c r="EZ17" s="2440"/>
      <c r="FA17" s="2440"/>
      <c r="FB17" s="2440"/>
      <c r="FC17" s="2440"/>
      <c r="FD17" s="2440"/>
      <c r="FE17" s="2440"/>
      <c r="FF17" s="2440"/>
      <c r="FG17" s="2440"/>
      <c r="FH17" s="2440"/>
      <c r="FI17" s="2440"/>
      <c r="FJ17" s="2440"/>
      <c r="FK17" s="2440"/>
      <c r="FL17" s="2440"/>
      <c r="FM17" s="2440"/>
      <c r="FN17" s="2440"/>
      <c r="FO17" s="2440"/>
      <c r="FP17" s="2440"/>
      <c r="FQ17" s="2440"/>
      <c r="FR17" s="2440"/>
      <c r="FS17" s="2440"/>
      <c r="FT17" s="2440"/>
      <c r="FU17" s="2440"/>
      <c r="FV17" s="2440"/>
      <c r="FW17" s="2455"/>
      <c r="FX17" s="768"/>
      <c r="GC17" s="932">
        <v>15</v>
      </c>
    </row>
    <row s="931" customFormat="1" customHeight="1" ht="12" hidden="1">
      <c r="B18" s="929"/>
      <c r="E18" s="945"/>
      <c r="F18" s="1198"/>
      <c r="G18" s="1198"/>
      <c r="H18" s="1198"/>
      <c r="I18" s="1198"/>
      <c r="J18" s="1199"/>
      <c r="K18" s="1199"/>
      <c r="L18" s="1199"/>
      <c r="M18" s="1199"/>
      <c r="N18" s="1199"/>
      <c r="O18" s="1198"/>
      <c r="P18" s="1198"/>
      <c r="Q18" s="1198"/>
      <c r="R18" s="1198"/>
      <c r="S18" s="1198"/>
      <c r="T18" s="1198"/>
      <c r="U18" s="1200"/>
      <c r="V18" s="1200"/>
      <c r="W18" s="1200"/>
      <c r="X18" s="1200"/>
      <c r="Y18" s="1200"/>
      <c r="Z18" s="1200"/>
      <c r="AA18" s="1200"/>
      <c r="AB18" s="1198"/>
      <c r="AC18" s="1199"/>
      <c r="AD18" s="1199"/>
      <c r="AE18" s="1199"/>
      <c r="AF18" s="1199"/>
      <c r="AG18" s="1199"/>
      <c r="AH18" s="1199"/>
      <c r="AI18" s="1199"/>
      <c r="AJ18" s="1199"/>
      <c r="AK18" s="1199"/>
      <c r="AL18" s="1199"/>
      <c r="AM18" s="1199"/>
      <c r="AN18" s="1199"/>
      <c r="AO18" s="1199"/>
      <c r="AP18" s="1199"/>
      <c r="AQ18" s="1199"/>
      <c r="AR18" s="1199"/>
      <c r="AS18" s="1199"/>
      <c r="AT18" s="1199"/>
      <c r="AU18" s="1199"/>
      <c r="AV18" s="1199"/>
      <c r="AW18" s="1199"/>
      <c r="AX18" s="1199"/>
      <c r="AY18" s="1199"/>
      <c r="AZ18" s="1199"/>
      <c r="BA18" s="1199"/>
      <c r="BB18" s="1199"/>
      <c r="BC18" s="1199"/>
      <c r="BD18" s="1199"/>
      <c r="BE18" s="1199"/>
      <c r="BF18" s="1199"/>
      <c r="BG18" s="1199"/>
      <c r="BH18" s="1199"/>
      <c r="BI18" s="1199"/>
      <c r="BJ18" s="1199"/>
      <c r="BK18" s="1199"/>
      <c r="BL18" s="1199"/>
      <c r="BM18" s="1199"/>
      <c r="BN18" s="1199"/>
      <c r="BO18" s="1199"/>
      <c r="BP18" s="1199"/>
      <c r="BQ18" s="1199"/>
      <c r="BR18" s="1199"/>
      <c r="BS18" s="1199"/>
      <c r="BT18" s="1201"/>
      <c r="BU18" s="1201"/>
      <c r="BV18" s="1201"/>
      <c r="BW18" s="1201"/>
      <c r="BX18" s="1201"/>
      <c r="BY18" s="1201"/>
      <c r="BZ18" s="1201"/>
      <c r="CA18" s="1201"/>
      <c r="CB18" s="1201"/>
      <c r="CC18" s="1201"/>
      <c r="CD18" s="1201"/>
      <c r="CE18" s="1201"/>
      <c r="CF18" s="1201"/>
      <c r="CG18" s="1201"/>
      <c r="CH18" s="1201"/>
      <c r="CI18" s="1201"/>
      <c r="CJ18" s="1201"/>
      <c r="CK18" s="1201"/>
      <c r="CL18" s="1199"/>
      <c r="CM18" s="1199"/>
      <c r="CN18" s="1199"/>
      <c r="CO18" s="1199"/>
      <c r="CP18" s="1199"/>
      <c r="CQ18" s="1199"/>
      <c r="CR18" s="1199"/>
      <c r="CS18" s="1199"/>
      <c r="CT18" s="1199"/>
      <c r="CU18" s="1199"/>
      <c r="CV18" s="1199"/>
      <c r="CW18" s="1199"/>
      <c r="CX18" s="1199"/>
      <c r="CY18" s="1201"/>
      <c r="CZ18" s="1201"/>
      <c r="DA18" s="1201"/>
      <c r="DB18" s="1201"/>
      <c r="DC18" s="1201"/>
      <c r="DD18" s="1201"/>
      <c r="DE18" s="1201"/>
      <c r="DF18" s="1201"/>
      <c r="DG18" s="1201"/>
      <c r="DH18" s="1201"/>
      <c r="DI18" s="1201"/>
      <c r="DJ18" s="1201"/>
      <c r="DK18" s="1199"/>
      <c r="DL18" s="1199"/>
      <c r="DM18" s="1199"/>
      <c r="DN18" s="1199"/>
      <c r="DO18" s="1199"/>
      <c r="DP18" s="1199"/>
      <c r="DQ18" s="1199"/>
      <c r="DR18" s="1199"/>
      <c r="DS18" s="1199"/>
      <c r="DT18" s="1199"/>
      <c r="DU18" s="1199"/>
      <c r="DV18" s="1199"/>
      <c r="DW18" s="1199"/>
      <c r="DX18" s="1199"/>
      <c r="DY18" s="1199"/>
      <c r="DZ18" s="1199"/>
      <c r="EA18" s="1199"/>
      <c r="EB18" s="1199"/>
      <c r="EC18" s="1199"/>
      <c r="ED18" s="1199"/>
      <c r="EE18" s="1199"/>
      <c r="EF18" s="1199"/>
      <c r="EG18" s="1199"/>
      <c r="EH18" s="1199"/>
      <c r="EI18" s="1199"/>
      <c r="EJ18" s="1199"/>
      <c r="EK18" s="1199"/>
      <c r="EL18" s="1199"/>
      <c r="EM18" s="1199"/>
      <c r="EN18" s="1199"/>
      <c r="EO18" s="1199"/>
      <c r="EP18" s="1199"/>
      <c r="EQ18" s="1199"/>
      <c r="ER18" s="1199"/>
      <c r="ES18" s="1199"/>
      <c r="ET18" s="1199"/>
      <c r="EU18" s="1199"/>
      <c r="EV18" s="1199"/>
      <c r="EW18" s="1199"/>
      <c r="EX18" s="1199"/>
      <c r="EY18" s="1199"/>
      <c r="EZ18" s="1199"/>
      <c r="FA18" s="1199"/>
      <c r="FB18" s="1199"/>
      <c r="FC18" s="1199"/>
      <c r="FD18" s="1199"/>
      <c r="FE18" s="1199"/>
      <c r="FF18" s="1199"/>
      <c r="FG18" s="1199"/>
      <c r="FH18" s="1199"/>
      <c r="FI18" s="1199"/>
      <c r="FJ18" s="1199"/>
      <c r="FK18" s="1199"/>
      <c r="FL18" s="1199"/>
      <c r="FM18" s="1199"/>
      <c r="FN18" s="1199"/>
      <c r="FO18" s="1199"/>
      <c r="FP18" s="1199"/>
      <c r="FQ18" s="1199"/>
      <c r="FR18" s="1199"/>
      <c r="FS18" s="1199"/>
      <c r="FT18" s="1199"/>
      <c r="FU18" s="1199"/>
      <c r="FV18" s="1199"/>
      <c r="FW18" s="1198"/>
      <c r="FX18" s="1202"/>
      <c r="GC18" s="930">
        <v>0</v>
      </c>
    </row>
    <row s="931" customFormat="1" customHeight="1" ht="11.25" hidden="1">
      <c r="B19" s="929"/>
      <c r="E19" s="945"/>
      <c r="F19" s="1198"/>
      <c r="G19" s="1198"/>
      <c r="H19" s="1198"/>
      <c r="I19" s="1198"/>
      <c r="J19" s="1198"/>
      <c r="K19" s="1198"/>
      <c r="L19" s="1198"/>
      <c r="M19" s="1198"/>
      <c r="N19" s="1198"/>
      <c r="O19" s="1198"/>
      <c r="P19" s="1198"/>
      <c r="Q19" s="1198"/>
      <c r="R19" s="1198"/>
      <c r="S19" s="1198"/>
      <c r="T19" s="1198"/>
      <c r="U19" s="1200"/>
      <c r="V19" s="1200"/>
      <c r="W19" s="1200"/>
      <c r="X19" s="1200"/>
      <c r="Y19" s="1200"/>
      <c r="Z19" s="1200"/>
      <c r="AA19" s="1200"/>
      <c r="AB19" s="1198"/>
      <c r="AC19" s="1198"/>
      <c r="AD19" s="1198"/>
      <c r="AE19" s="1198"/>
      <c r="AF19" s="1198"/>
      <c r="AG19" s="1198"/>
      <c r="AH19" s="1198"/>
      <c r="AI19" s="1198"/>
      <c r="AJ19" s="1198"/>
      <c r="AK19" s="1198"/>
      <c r="AL19" s="1198"/>
      <c r="AM19" s="1198"/>
      <c r="AN19" s="1198"/>
      <c r="AO19" s="1198"/>
      <c r="AP19" s="1198"/>
      <c r="AQ19" s="1198"/>
      <c r="AR19" s="1198"/>
      <c r="AS19" s="1198"/>
      <c r="AT19" s="1198"/>
      <c r="AU19" s="1198"/>
      <c r="AV19" s="1198"/>
      <c r="AW19" s="1198"/>
      <c r="AX19" s="1198"/>
      <c r="AY19" s="1198"/>
      <c r="AZ19" s="1198"/>
      <c r="BA19" s="1198"/>
      <c r="BB19" s="1198"/>
      <c r="BC19" s="1198"/>
      <c r="BD19" s="1198"/>
      <c r="BE19" s="1198"/>
      <c r="BF19" s="1198"/>
      <c r="BG19" s="1198"/>
      <c r="BH19" s="1198"/>
      <c r="BI19" s="1198"/>
      <c r="BJ19" s="1198"/>
      <c r="BK19" s="1198"/>
      <c r="BL19" s="1198"/>
      <c r="BM19" s="1198"/>
      <c r="BN19" s="1198"/>
      <c r="BO19" s="1198"/>
      <c r="BP19" s="1198"/>
      <c r="BQ19" s="1198"/>
      <c r="BR19" s="1198"/>
      <c r="BS19" s="1198"/>
      <c r="BT19" s="1198"/>
      <c r="BU19" s="1198"/>
      <c r="BV19" s="1198"/>
      <c r="BW19" s="1198"/>
      <c r="BX19" s="1198"/>
      <c r="BY19" s="1198"/>
      <c r="BZ19" s="1198"/>
      <c r="CA19" s="1198"/>
      <c r="CB19" s="1198"/>
      <c r="CC19" s="1198"/>
      <c r="CD19" s="1198"/>
      <c r="CE19" s="1198"/>
      <c r="CF19" s="1198"/>
      <c r="CG19" s="1198"/>
      <c r="CH19" s="1198"/>
      <c r="CI19" s="1198"/>
      <c r="CJ19" s="1198"/>
      <c r="CK19" s="1198"/>
      <c r="CL19" s="1198"/>
      <c r="CM19" s="1198"/>
      <c r="CN19" s="1198"/>
      <c r="CO19" s="1198"/>
      <c r="CP19" s="1198"/>
      <c r="CQ19" s="1198"/>
      <c r="CR19" s="1198"/>
      <c r="CS19" s="1198"/>
      <c r="CT19" s="1198"/>
      <c r="CU19" s="1198"/>
      <c r="CV19" s="1198"/>
      <c r="CW19" s="1198"/>
      <c r="CX19" s="1198"/>
      <c r="CY19" s="1198"/>
      <c r="CZ19" s="1198"/>
      <c r="DA19" s="1198"/>
      <c r="DB19" s="1198"/>
      <c r="DC19" s="1198"/>
      <c r="DD19" s="1198"/>
      <c r="DE19" s="1198"/>
      <c r="DF19" s="1198"/>
      <c r="DG19" s="1198"/>
      <c r="DH19" s="1198"/>
      <c r="DI19" s="1198"/>
      <c r="DJ19" s="1198"/>
      <c r="DK19" s="1198"/>
      <c r="DL19" s="1198"/>
      <c r="DM19" s="1198"/>
      <c r="DN19" s="1198"/>
      <c r="DO19" s="1198"/>
      <c r="DP19" s="1198"/>
      <c r="DQ19" s="1198"/>
      <c r="DR19" s="1198"/>
      <c r="DS19" s="1198"/>
      <c r="DT19" s="1198"/>
      <c r="DU19" s="1198"/>
      <c r="DV19" s="1198"/>
      <c r="DW19" s="1198"/>
      <c r="DX19" s="1198"/>
      <c r="DY19" s="1198"/>
      <c r="DZ19" s="1198"/>
      <c r="EA19" s="1198"/>
      <c r="EB19" s="1198"/>
      <c r="EC19" s="1198"/>
      <c r="ED19" s="1198"/>
      <c r="EE19" s="1198"/>
      <c r="EF19" s="1198"/>
      <c r="EG19" s="1198"/>
      <c r="EH19" s="1198"/>
      <c r="EI19" s="1198"/>
      <c r="EJ19" s="1198"/>
      <c r="EK19" s="1198"/>
      <c r="EL19" s="1198"/>
      <c r="EM19" s="1198"/>
      <c r="EN19" s="1198"/>
      <c r="EO19" s="1198"/>
      <c r="EP19" s="1198"/>
      <c r="EQ19" s="1198"/>
      <c r="ER19" s="1198"/>
      <c r="ES19" s="1198"/>
      <c r="ET19" s="1198"/>
      <c r="EU19" s="1198"/>
      <c r="EV19" s="1198"/>
      <c r="EW19" s="1198"/>
      <c r="EX19" s="1198"/>
      <c r="EY19" s="1198"/>
      <c r="EZ19" s="1198"/>
      <c r="FA19" s="1198"/>
      <c r="FB19" s="1198"/>
      <c r="FC19" s="1198"/>
      <c r="FD19" s="1198"/>
      <c r="FE19" s="1198"/>
      <c r="FF19" s="1198"/>
      <c r="FG19" s="1198"/>
      <c r="FH19" s="1198"/>
      <c r="FI19" s="1198"/>
      <c r="FJ19" s="1198"/>
      <c r="FK19" s="1198"/>
      <c r="FL19" s="1198"/>
      <c r="FM19" s="1198"/>
      <c r="FN19" s="1198"/>
      <c r="FO19" s="1198"/>
      <c r="FP19" s="1198"/>
      <c r="FQ19" s="1198"/>
      <c r="FR19" s="1198"/>
      <c r="FS19" s="1198"/>
      <c r="FT19" s="1198"/>
      <c r="FU19" s="1198"/>
      <c r="FV19" s="1198"/>
      <c r="FW19" s="1198"/>
      <c r="FX19" s="1202"/>
      <c r="GC19" s="930">
        <v>0</v>
      </c>
    </row>
    <row s="931" customFormat="1" customHeight="1" ht="11.25" hidden="1">
      <c r="B20" s="946"/>
      <c r="D20" s="930"/>
      <c r="E20" s="945"/>
      <c r="F20" s="1203" t="s">
        <v>392</v>
      </c>
      <c r="G20" s="1204"/>
      <c r="H20" s="1205"/>
      <c r="I20" s="1205"/>
      <c r="J20" s="1205"/>
      <c r="K20" s="1205"/>
      <c r="L20" s="1205"/>
      <c r="M20" s="1205"/>
      <c r="N20" s="1205"/>
      <c r="O20" s="1204"/>
      <c r="P20" s="1204"/>
      <c r="Q20" s="1204"/>
      <c r="R20" s="1204"/>
      <c r="S20" s="1204"/>
      <c r="T20" s="1204"/>
      <c r="U20" s="1206"/>
      <c r="V20" s="1206"/>
      <c r="W20" s="1206"/>
      <c r="X20" s="1206"/>
      <c r="Y20" s="1206"/>
      <c r="Z20" s="1206"/>
      <c r="AA20" s="1206"/>
      <c r="AB20" s="1204"/>
      <c r="AC20" s="1205"/>
      <c r="AD20" s="1205"/>
      <c r="AE20" s="1205"/>
      <c r="AF20" s="1205"/>
      <c r="AG20" s="1205"/>
      <c r="AH20" s="1205"/>
      <c r="AI20" s="1205"/>
      <c r="AJ20" s="1205"/>
      <c r="AK20" s="1205"/>
      <c r="AL20" s="1205"/>
      <c r="AM20" s="1205"/>
      <c r="AN20" s="1205"/>
      <c r="AO20" s="1205"/>
      <c r="AP20" s="1205"/>
      <c r="AQ20" s="1205"/>
      <c r="AR20" s="1205"/>
      <c r="AS20" s="1205"/>
      <c r="AT20" s="1205"/>
      <c r="AU20" s="1205"/>
      <c r="AV20" s="1205"/>
      <c r="AW20" s="1205"/>
      <c r="AX20" s="1205"/>
      <c r="AY20" s="1205"/>
      <c r="AZ20" s="1205"/>
      <c r="BA20" s="1205"/>
      <c r="BB20" s="1205"/>
      <c r="BC20" s="1205"/>
      <c r="BD20" s="1205"/>
      <c r="BE20" s="1205"/>
      <c r="BF20" s="1205"/>
      <c r="BG20" s="1205"/>
      <c r="BH20" s="1205"/>
      <c r="BI20" s="1205"/>
      <c r="BJ20" s="1205"/>
      <c r="BK20" s="1205"/>
      <c r="BL20" s="1205"/>
      <c r="BM20" s="1205"/>
      <c r="BN20" s="1205"/>
      <c r="BO20" s="1205"/>
      <c r="BP20" s="1205"/>
      <c r="BQ20" s="1205"/>
      <c r="BR20" s="1205"/>
      <c r="BS20" s="1205"/>
      <c r="BT20" s="1205"/>
      <c r="BU20" s="1205"/>
      <c r="BV20" s="1205"/>
      <c r="BW20" s="1205"/>
      <c r="BX20" s="1205"/>
      <c r="BY20" s="1205"/>
      <c r="BZ20" s="1205"/>
      <c r="CA20" s="1205"/>
      <c r="CB20" s="1205"/>
      <c r="CC20" s="1205"/>
      <c r="CD20" s="1205"/>
      <c r="CE20" s="1205"/>
      <c r="CF20" s="1205"/>
      <c r="CG20" s="1205"/>
      <c r="CH20" s="1205"/>
      <c r="CI20" s="1205"/>
      <c r="CJ20" s="1205"/>
      <c r="CK20" s="1205"/>
      <c r="CL20" s="1207"/>
      <c r="CM20" s="1207"/>
      <c r="CN20" s="1207"/>
      <c r="CO20" s="1207"/>
      <c r="CP20" s="1207"/>
      <c r="CQ20" s="1207"/>
      <c r="CR20" s="1207"/>
      <c r="CS20" s="1207"/>
      <c r="CT20" s="1207"/>
      <c r="CU20" s="1207"/>
      <c r="CV20" s="1207"/>
      <c r="CW20" s="1207"/>
      <c r="CX20" s="1207"/>
      <c r="CY20" s="1207"/>
      <c r="CZ20" s="1207"/>
      <c r="DA20" s="1207"/>
      <c r="DB20" s="1207"/>
      <c r="DC20" s="1207"/>
      <c r="DD20" s="1207"/>
      <c r="DE20" s="1207"/>
      <c r="DF20" s="1207"/>
      <c r="DG20" s="1207"/>
      <c r="DH20" s="1207"/>
      <c r="DI20" s="1207"/>
      <c r="DJ20" s="1207"/>
      <c r="DK20" s="1207"/>
      <c r="DL20" s="1207"/>
      <c r="DM20" s="1207"/>
      <c r="DN20" s="1207"/>
      <c r="DO20" s="1207"/>
      <c r="DP20" s="1207"/>
      <c r="DQ20" s="1207"/>
      <c r="DR20" s="1207"/>
      <c r="DS20" s="1207"/>
      <c r="DT20" s="1207"/>
      <c r="DU20" s="1207"/>
      <c r="DV20" s="1207"/>
      <c r="DW20" s="1207"/>
      <c r="DX20" s="1207"/>
      <c r="DY20" s="1207"/>
      <c r="DZ20" s="1207"/>
      <c r="EA20" s="1207"/>
      <c r="EB20" s="1207"/>
      <c r="EC20" s="1207"/>
      <c r="ED20" s="1207"/>
      <c r="EE20" s="1207"/>
      <c r="EF20" s="1207"/>
      <c r="EG20" s="1207"/>
      <c r="EH20" s="1207"/>
      <c r="EI20" s="1207"/>
      <c r="EJ20" s="1207"/>
      <c r="EK20" s="1207"/>
      <c r="EL20" s="1207"/>
      <c r="EM20" s="1207"/>
      <c r="EN20" s="1207"/>
      <c r="EO20" s="1207"/>
      <c r="EP20" s="1207"/>
      <c r="EQ20" s="1207"/>
      <c r="ER20" s="1207"/>
      <c r="ES20" s="1207"/>
      <c r="ET20" s="1207"/>
      <c r="EU20" s="1207"/>
      <c r="EV20" s="1207"/>
      <c r="EW20" s="1207"/>
      <c r="EX20" s="1207"/>
      <c r="EY20" s="1207"/>
      <c r="EZ20" s="1207"/>
      <c r="FA20" s="1207"/>
      <c r="FB20" s="1207"/>
      <c r="FC20" s="1207"/>
      <c r="FD20" s="1207"/>
      <c r="FE20" s="1207"/>
      <c r="FF20" s="1207"/>
      <c r="FG20" s="1207"/>
      <c r="FH20" s="1207"/>
      <c r="FI20" s="1207"/>
      <c r="FJ20" s="1207"/>
      <c r="FK20" s="1207"/>
      <c r="FL20" s="1207"/>
      <c r="FM20" s="1207"/>
      <c r="FN20" s="1207"/>
      <c r="FO20" s="1207"/>
      <c r="FP20" s="1207"/>
      <c r="FQ20" s="1207"/>
      <c r="FR20" s="1207"/>
      <c r="FS20" s="1207"/>
      <c r="FT20" s="1207"/>
      <c r="FU20" s="1207"/>
      <c r="FV20" s="1207"/>
      <c r="FW20" s="1207"/>
      <c r="FX20" s="1208"/>
      <c r="GC20" s="928">
        <v>0</v>
      </c>
    </row>
    <row s="931" customFormat="1" customHeight="1" ht="12.75">
      <c r="A21" s="947"/>
      <c r="B21" s="947"/>
      <c r="C21" s="947"/>
      <c r="D21" s="947"/>
      <c r="E21" s="947"/>
      <c r="F21" s="945"/>
      <c r="G21" s="945"/>
      <c r="H21" s="945"/>
      <c r="I21" s="945"/>
      <c r="J21" s="945"/>
      <c r="K21" s="945"/>
      <c r="L21" s="945"/>
      <c r="M21" s="945"/>
      <c r="N21" s="945"/>
      <c r="O21" s="945"/>
      <c r="P21" s="945"/>
      <c r="Q21" s="945"/>
      <c r="R21" s="945"/>
      <c r="S21" s="948"/>
      <c r="T21" s="948"/>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7"/>
      <c r="FY21" s="947"/>
      <c r="FZ21" s="947"/>
      <c r="GA21" s="947"/>
      <c r="GB21" s="947"/>
      <c r="GC21" s="928">
        <v>12</v>
      </c>
    </row>
    <row s="931" customFormat="1" customHeight="1" ht="12.75">
      <c r="A22" s="947"/>
      <c r="B22" s="947"/>
      <c r="C22" s="947"/>
      <c r="D22" s="947"/>
      <c r="E22" s="947"/>
      <c r="FX22" s="947"/>
      <c r="FY22" s="947"/>
      <c r="FZ22" s="947"/>
      <c r="GA22" s="947"/>
      <c r="GB22" s="947"/>
      <c r="GC22" s="928">
        <v>12</v>
      </c>
    </row>
    <row s="1069" customFormat="1" customHeight="1" ht="12.75">
      <c r="A23" s="1068"/>
      <c r="B23" s="1068"/>
      <c r="C23" s="1068"/>
      <c r="D23" s="1068"/>
      <c r="E23" s="1068"/>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c r="AT23" s="1070"/>
      <c r="AU23" s="1070"/>
      <c r="AV23" s="1070"/>
      <c r="AW23" s="1070"/>
      <c r="AX23" s="1070"/>
      <c r="AY23" s="1070"/>
      <c r="AZ23" s="1070"/>
      <c r="BA23" s="1070"/>
      <c r="BB23" s="1070"/>
      <c r="BC23" s="1070"/>
      <c r="BD23" s="1070"/>
      <c r="BE23" s="1070"/>
      <c r="BF23" s="1070"/>
      <c r="BG23" s="1070"/>
      <c r="BH23" s="1070"/>
      <c r="BI23" s="1070"/>
      <c r="BJ23" s="1070"/>
      <c r="BK23" s="1070"/>
      <c r="BL23" s="1070"/>
      <c r="BM23" s="1070"/>
      <c r="BN23" s="1070"/>
      <c r="BO23" s="1070"/>
      <c r="BP23" s="1070"/>
      <c r="BQ23" s="1070"/>
      <c r="BR23" s="1070"/>
      <c r="BS23" s="1070"/>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FX23" s="1068"/>
      <c r="FY23" s="1068"/>
      <c r="FZ23" s="1068"/>
      <c r="GA23" s="1068"/>
      <c r="GB23" s="1068"/>
      <c r="GC23" s="1069">
        <v>12</v>
      </c>
    </row>
    <row customHeight="1" ht="12.75">
      <c r="S24" s="944"/>
      <c r="T24" s="944"/>
      <c r="U24" s="944"/>
      <c r="V24" s="944"/>
      <c r="W24" s="944"/>
      <c r="X24" s="944"/>
      <c r="Y24" s="944"/>
      <c r="Z24" s="944"/>
      <c r="AA24" s="944"/>
      <c r="AB24" s="944"/>
      <c r="FX24" s="944"/>
      <c r="FY24" s="944"/>
      <c r="FZ24" s="944"/>
      <c r="GA24" s="944"/>
      <c r="GB24" s="944"/>
      <c r="GC24" s="932">
        <v>12</v>
      </c>
    </row>
    <row customHeight="1" ht="12" hidden="1">
      <c r="A25" s="932" t="s">
        <v>83</v>
      </c>
      <c r="B25" s="942">
        <v>0</v>
      </c>
      <c r="C25" s="932">
        <v>0</v>
      </c>
      <c r="D25" s="932">
        <v>0</v>
      </c>
      <c r="E25" s="932">
        <v>3</v>
      </c>
      <c r="F25" s="932">
        <v>6</v>
      </c>
      <c r="G25" s="932">
        <v>18</v>
      </c>
      <c r="H25" s="932">
        <v>27</v>
      </c>
      <c r="I25" s="932">
        <v>18</v>
      </c>
      <c r="J25" s="932">
        <v>0</v>
      </c>
      <c r="K25" s="932">
        <v>0</v>
      </c>
      <c r="L25" s="932">
        <v>0</v>
      </c>
      <c r="M25" s="932">
        <v>0</v>
      </c>
      <c r="N25" s="932">
        <v>0</v>
      </c>
      <c r="O25" s="932">
        <v>0</v>
      </c>
      <c r="P25" s="932">
        <v>0</v>
      </c>
      <c r="Q25" s="932">
        <v>0</v>
      </c>
      <c r="R25" s="932">
        <v>0</v>
      </c>
      <c r="S25" s="932">
        <v>0</v>
      </c>
      <c r="T25" s="932">
        <v>0</v>
      </c>
      <c r="U25" s="932">
        <v>0</v>
      </c>
      <c r="V25" s="932">
        <v>0</v>
      </c>
      <c r="W25" s="932">
        <v>0</v>
      </c>
      <c r="X25" s="932">
        <v>0</v>
      </c>
      <c r="Y25" s="932">
        <v>0</v>
      </c>
      <c r="Z25" s="932">
        <v>0</v>
      </c>
      <c r="AA25" s="932">
        <v>0</v>
      </c>
      <c r="AB25" s="932">
        <v>0</v>
      </c>
      <c r="AC25" s="932">
        <v>0</v>
      </c>
      <c r="AD25" s="932">
        <v>0</v>
      </c>
      <c r="AE25" s="932">
        <v>0</v>
      </c>
      <c r="AF25" s="932">
        <v>0</v>
      </c>
      <c r="AG25" s="932">
        <v>0</v>
      </c>
      <c r="AH25" s="932">
        <v>0</v>
      </c>
      <c r="AI25" s="932">
        <v>0</v>
      </c>
      <c r="AJ25" s="932">
        <v>0</v>
      </c>
      <c r="AK25" s="932">
        <v>0</v>
      </c>
      <c r="AL25" s="932">
        <v>0</v>
      </c>
      <c r="AM25" s="932">
        <v>0</v>
      </c>
      <c r="AN25" s="932">
        <v>0</v>
      </c>
      <c r="AO25" s="932">
        <v>0</v>
      </c>
      <c r="AP25" s="932">
        <v>0</v>
      </c>
      <c r="AQ25" s="932">
        <v>0</v>
      </c>
      <c r="AR25" s="932">
        <v>0</v>
      </c>
      <c r="AS25" s="932">
        <v>0</v>
      </c>
      <c r="AT25" s="932">
        <v>0</v>
      </c>
      <c r="AU25" s="932">
        <v>0</v>
      </c>
      <c r="AV25" s="932">
        <v>0</v>
      </c>
      <c r="AW25" s="932">
        <v>0</v>
      </c>
      <c r="AX25" s="932">
        <v>0</v>
      </c>
      <c r="AY25" s="932">
        <v>0</v>
      </c>
      <c r="AZ25" s="932">
        <v>0</v>
      </c>
      <c r="BA25" s="932">
        <v>0</v>
      </c>
      <c r="BB25" s="932">
        <v>0</v>
      </c>
      <c r="BC25" s="932">
        <v>0</v>
      </c>
      <c r="BD25" s="932">
        <v>0</v>
      </c>
      <c r="BE25" s="932">
        <v>0</v>
      </c>
      <c r="BF25" s="932">
        <v>0</v>
      </c>
      <c r="BG25" s="932">
        <v>0</v>
      </c>
      <c r="BH25" s="932">
        <v>0</v>
      </c>
      <c r="BI25" s="932">
        <v>0</v>
      </c>
      <c r="BJ25" s="932">
        <v>0</v>
      </c>
      <c r="BK25" s="932">
        <v>0</v>
      </c>
      <c r="BL25" s="932">
        <v>0</v>
      </c>
      <c r="BM25" s="932">
        <v>0</v>
      </c>
      <c r="BN25" s="932">
        <v>0</v>
      </c>
      <c r="BO25" s="932">
        <v>0</v>
      </c>
      <c r="BP25" s="932">
        <v>0</v>
      </c>
      <c r="BQ25" s="932">
        <v>0</v>
      </c>
      <c r="BR25" s="932">
        <v>0</v>
      </c>
      <c r="BS25" s="932">
        <v>0</v>
      </c>
      <c r="BT25" s="932">
        <v>0</v>
      </c>
      <c r="BU25" s="932">
        <v>0</v>
      </c>
      <c r="BV25" s="932">
        <v>0</v>
      </c>
      <c r="BW25" s="932">
        <v>0</v>
      </c>
      <c r="BX25" s="932">
        <v>0</v>
      </c>
      <c r="BY25" s="932">
        <v>0</v>
      </c>
      <c r="BZ25" s="932">
        <v>0</v>
      </c>
      <c r="CA25" s="932">
        <v>0</v>
      </c>
      <c r="CB25" s="932">
        <v>0</v>
      </c>
      <c r="CC25" s="932">
        <v>0</v>
      </c>
      <c r="CD25" s="932">
        <v>0</v>
      </c>
      <c r="CE25" s="932">
        <v>0</v>
      </c>
      <c r="CF25" s="932">
        <v>0</v>
      </c>
      <c r="CG25" s="932">
        <v>0</v>
      </c>
      <c r="CH25" s="932">
        <v>0</v>
      </c>
      <c r="CI25" s="932">
        <v>0</v>
      </c>
      <c r="CJ25" s="932">
        <v>0</v>
      </c>
      <c r="CK25" s="932">
        <v>0</v>
      </c>
      <c r="CL25" s="932">
        <v>0</v>
      </c>
      <c r="CM25" s="932">
        <v>0</v>
      </c>
      <c r="CN25" s="932">
        <v>0</v>
      </c>
      <c r="CO25" s="932">
        <v>0</v>
      </c>
      <c r="CP25" s="932">
        <v>0</v>
      </c>
      <c r="CQ25" s="932">
        <v>0</v>
      </c>
      <c r="CR25" s="932">
        <v>0</v>
      </c>
      <c r="CS25" s="932">
        <v>0</v>
      </c>
      <c r="CT25" s="932">
        <v>0</v>
      </c>
      <c r="CU25" s="932">
        <v>0</v>
      </c>
      <c r="CV25" s="932">
        <v>0</v>
      </c>
      <c r="CW25" s="932">
        <v>0</v>
      </c>
      <c r="CX25" s="932">
        <v>0</v>
      </c>
      <c r="CY25" s="932">
        <v>0</v>
      </c>
      <c r="CZ25" s="932">
        <v>0</v>
      </c>
      <c r="DA25" s="932">
        <v>0</v>
      </c>
      <c r="DB25" s="932">
        <v>0</v>
      </c>
      <c r="DC25" s="932">
        <v>0</v>
      </c>
      <c r="DD25" s="932">
        <v>0</v>
      </c>
      <c r="DE25" s="932">
        <v>0</v>
      </c>
      <c r="DF25" s="932">
        <v>0</v>
      </c>
      <c r="DG25" s="932">
        <v>0</v>
      </c>
      <c r="DH25" s="932">
        <v>0</v>
      </c>
      <c r="DI25" s="932">
        <v>0</v>
      </c>
      <c r="DJ25" s="932">
        <v>0</v>
      </c>
      <c r="DK25" s="932">
        <v>0</v>
      </c>
      <c r="DL25" s="932">
        <v>0</v>
      </c>
      <c r="DM25" s="932">
        <v>0</v>
      </c>
      <c r="DN25" s="932">
        <v>0</v>
      </c>
      <c r="DO25" s="932">
        <v>0</v>
      </c>
      <c r="DP25" s="932">
        <v>0</v>
      </c>
      <c r="DQ25" s="932">
        <v>0</v>
      </c>
      <c r="DR25" s="932">
        <v>0</v>
      </c>
      <c r="DS25" s="932">
        <v>0</v>
      </c>
      <c r="DT25" s="932">
        <v>0</v>
      </c>
      <c r="DU25" s="932">
        <v>0</v>
      </c>
      <c r="DV25" s="932">
        <v>0</v>
      </c>
      <c r="DW25" s="932">
        <v>0</v>
      </c>
      <c r="DX25" s="932">
        <v>0</v>
      </c>
      <c r="DY25" s="932">
        <v>0</v>
      </c>
      <c r="DZ25" s="932">
        <v>0</v>
      </c>
      <c r="EA25" s="932">
        <v>0</v>
      </c>
      <c r="EB25" s="932">
        <v>0</v>
      </c>
      <c r="EC25" s="932">
        <v>0</v>
      </c>
      <c r="ED25" s="932">
        <v>0</v>
      </c>
      <c r="EE25" s="932">
        <v>0</v>
      </c>
      <c r="EF25" s="932">
        <v>0</v>
      </c>
      <c r="EG25" s="932">
        <v>0</v>
      </c>
      <c r="EH25" s="932">
        <v>0</v>
      </c>
      <c r="EI25" s="932">
        <v>0</v>
      </c>
      <c r="EJ25" s="932">
        <v>0</v>
      </c>
      <c r="EK25" s="932">
        <v>0</v>
      </c>
      <c r="EL25" s="932">
        <v>0</v>
      </c>
      <c r="EM25" s="932">
        <v>0</v>
      </c>
      <c r="EN25" s="932">
        <v>0</v>
      </c>
      <c r="EO25" s="932">
        <v>0</v>
      </c>
      <c r="EP25" s="932">
        <v>0</v>
      </c>
      <c r="EQ25" s="932">
        <v>0</v>
      </c>
      <c r="ER25" s="932">
        <v>0</v>
      </c>
      <c r="ES25" s="932">
        <v>0</v>
      </c>
      <c r="ET25" s="932">
        <v>0</v>
      </c>
      <c r="EU25" s="932">
        <v>0</v>
      </c>
      <c r="EV25" s="932">
        <v>0</v>
      </c>
      <c r="EW25" s="932">
        <v>0</v>
      </c>
      <c r="EX25" s="932">
        <v>0</v>
      </c>
      <c r="EY25" s="932">
        <v>0</v>
      </c>
      <c r="EZ25" s="932">
        <v>0</v>
      </c>
      <c r="FA25" s="932">
        <v>0</v>
      </c>
      <c r="FB25" s="932">
        <v>0</v>
      </c>
      <c r="FC25" s="932">
        <v>0</v>
      </c>
      <c r="FD25" s="932">
        <v>0</v>
      </c>
      <c r="FE25" s="932">
        <v>0</v>
      </c>
      <c r="FF25" s="932">
        <v>0</v>
      </c>
      <c r="FG25" s="932">
        <v>0</v>
      </c>
      <c r="FH25" s="932">
        <v>0</v>
      </c>
      <c r="FI25" s="932">
        <v>0</v>
      </c>
      <c r="FJ25" s="932">
        <v>0</v>
      </c>
      <c r="FK25" s="932">
        <v>0</v>
      </c>
      <c r="FL25" s="932">
        <v>0</v>
      </c>
      <c r="FM25" s="932">
        <v>0</v>
      </c>
      <c r="FN25" s="932">
        <v>0</v>
      </c>
      <c r="FO25" s="932">
        <v>0</v>
      </c>
      <c r="FP25" s="932">
        <v>0</v>
      </c>
      <c r="FQ25" s="932">
        <v>0</v>
      </c>
      <c r="FR25" s="932">
        <v>0</v>
      </c>
      <c r="FS25" s="932">
        <v>0</v>
      </c>
      <c r="FT25" s="932">
        <v>0</v>
      </c>
      <c r="FU25" s="932">
        <v>0</v>
      </c>
      <c r="FV25" s="932">
        <v>0</v>
      </c>
      <c r="FW25" s="932">
        <v>0</v>
      </c>
      <c r="FX25" s="932">
        <v>8</v>
      </c>
      <c r="FY25" s="932">
        <v>8</v>
      </c>
      <c r="FZ25" s="932">
        <v>8</v>
      </c>
      <c r="GA25" s="932">
        <v>8</v>
      </c>
      <c r="GB25" s="932">
        <v>8</v>
      </c>
      <c r="GC25" s="932">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171475-CCB1-CBF8-A88B-61ADEDDC3863}"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42.421875" hidden="1" customWidth="1"/>
    <col min="8" max="8" style="1641" width="40.7109375" customWidth="1"/>
    <col min="9" max="9" style="1372" width="93.00390625" customWidth="1"/>
    <col min="10" max="17" style="1641" width="10.00390625" customWidth="1"/>
    <col min="18" max="18" style="681" width="10.00390625" customWidth="1"/>
    <col min="19" max="19" style="1641" width="10.57421875" hidden="1"/>
  </cols>
  <sheetData>
    <row s="1372" customFormat="1" customHeight="1" ht="15" hidden="1">
      <c r="C1" s="678"/>
      <c r="H1" s="423">
        <v>4</v>
      </c>
      <c r="R1" s="426"/>
      <c r="S1" s="423" t="s">
        <v>14</v>
      </c>
    </row>
    <row customHeight="1" ht="22.5" hidden="1">
      <c r="C2" s="1934" t="s">
        <v>253</v>
      </c>
      <c r="D2" s="545"/>
      <c r="E2" s="669"/>
      <c r="F2" s="1767" t="str">
        <f>IF(TEMPLATE_SPHERE="HEAT","Гкал/час","тыс. куб. м/сутки")</f>
        <v>тыс. куб. м/сутки</v>
      </c>
      <c r="G2" s="686"/>
      <c r="H2" s="686"/>
      <c r="I2" s="295"/>
      <c r="S2" s="511">
        <v>0</v>
      </c>
    </row>
    <row s="1372" customFormat="1" customHeight="1" ht="15" hidden="1">
      <c r="C3" s="678"/>
      <c r="R3" s="426"/>
      <c r="S3" s="423">
        <v>0</v>
      </c>
    </row>
    <row customHeight="1" ht="15.75">
      <c r="C4" s="182"/>
      <c r="D4" s="515"/>
      <c r="E4" s="515"/>
      <c r="F4" s="515"/>
      <c r="G4" s="515"/>
      <c r="H4" s="515"/>
      <c r="S4" s="511">
        <v>15</v>
      </c>
    </row>
    <row customHeight="1" ht="39.75">
      <c r="C5" s="182"/>
      <c r="D5" s="224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3"/>
      <c r="F5" s="2243"/>
      <c r="G5" s="2243"/>
      <c r="H5" s="2243"/>
      <c r="I5" s="543"/>
      <c r="S5" s="511">
        <v>38</v>
      </c>
    </row>
    <row customHeight="1" ht="15.75">
      <c r="C6" s="182"/>
      <c r="D6" s="2182" t="str">
        <f>IF(org=0,"Не определено",org)</f>
        <v>АО «ДГК» СП «Нерюнгринская ГРЭС»</v>
      </c>
      <c r="E6" s="2182"/>
      <c r="F6" s="2182"/>
      <c r="G6" s="2182"/>
      <c r="H6" s="2182"/>
      <c r="I6" s="543"/>
      <c r="S6" s="511">
        <v>15</v>
      </c>
    </row>
    <row s="1641" customFormat="1" customHeight="1" ht="15.75">
      <c r="A7" s="765"/>
      <c r="C7" s="182"/>
      <c r="D7" s="682"/>
      <c r="E7" s="682"/>
      <c r="F7" s="682"/>
      <c r="G7" s="682"/>
      <c r="H7" s="758"/>
      <c r="I7" s="543"/>
      <c r="R7" s="681"/>
      <c r="S7" s="764">
        <v>15</v>
      </c>
    </row>
    <row customHeight="1" ht="1.05">
      <c r="C8" s="182"/>
      <c r="D8" s="515"/>
      <c r="E8" s="515"/>
      <c r="F8" s="515"/>
      <c r="G8" s="515"/>
      <c r="H8" s="543" t="s">
        <v>119</v>
      </c>
      <c r="S8" s="511">
        <v>1</v>
      </c>
    </row>
    <row customHeight="1" ht="15.75">
      <c r="C9" s="182"/>
      <c r="D9" s="717"/>
      <c r="E9" s="2373" t="s">
        <v>107</v>
      </c>
      <c r="F9" s="2374"/>
      <c r="G9" s="822" t="str">
        <f>IF(G8="","",INDEX(DIFFERENTIATION_UNMERGE_VD,MATCH(G8,DIFFERENTIATION_ID_DIFF,0)))</f>
        <v/>
      </c>
      <c r="H9" s="822">
        <f>IF(H8="","",INDEX(DIFFERENTIATION_UNMERGE_VD,MATCH(H8,DIFFERENTIATION_ID_DIFF,0)))</f>
        <v>0</v>
      </c>
      <c r="I9" s="2133" t="s">
        <v>317</v>
      </c>
      <c r="S9" s="511">
        <v>15</v>
      </c>
    </row>
    <row s="1641" customFormat="1" customHeight="1" ht="15.75">
      <c r="A10" s="765"/>
      <c r="C10" s="182"/>
      <c r="D10" s="717"/>
      <c r="E10" s="2373" t="s">
        <v>601</v>
      </c>
      <c r="F10" s="2374"/>
      <c r="G10" s="822" t="str">
        <f>IF(G8="","",INDEX(DIFFERENTIATION_UNMERGE_AREA,MATCH(G8,DIFFERENTIATION_ID_DIFF,0)))</f>
        <v/>
      </c>
      <c r="H10" s="822" t="str">
        <f>IF(H8="","",INDEX(DIFFERENTIATION_UNMERGE_AREA,MATCH(H8,DIFFERENTIATION_ID_DIFF,0)))</f>
        <v/>
      </c>
      <c r="I10" s="2133"/>
      <c r="R10" s="681"/>
      <c r="S10" s="764">
        <v>15</v>
      </c>
    </row>
    <row s="1641" customFormat="1" customHeight="1" ht="15.75">
      <c r="A11" s="765"/>
      <c r="C11" s="182"/>
      <c r="D11" s="717"/>
      <c r="E11" s="2373" t="s">
        <v>602</v>
      </c>
      <c r="F11" s="2374"/>
      <c r="G11" s="822" t="str">
        <f>IF(G8="","",INDEX(DIFFERENTIATION_UNMERGE_SYSTEM,MATCH(G8,DIFFERENTIATION_ID_DIFF,0)))</f>
        <v/>
      </c>
      <c r="H11" s="822" t="str">
        <f>IF(H8="","",INDEX(DIFFERENTIATION_UNMERGE_SYSTEM,MATCH(H8,DIFFERENTIATION_ID_DIFF,0)))</f>
        <v>без дифференциации</v>
      </c>
      <c r="I11" s="2133"/>
      <c r="R11" s="681"/>
      <c r="S11" s="764">
        <v>15</v>
      </c>
    </row>
    <row s="1641" customFormat="1" customHeight="1" ht="15.75">
      <c r="A12" s="765"/>
      <c r="C12" s="182"/>
      <c r="D12" s="2375" t="s">
        <v>316</v>
      </c>
      <c r="E12" s="2376"/>
      <c r="F12" s="2376"/>
      <c r="G12" s="893"/>
      <c r="H12" s="893"/>
      <c r="I12" s="2133"/>
      <c r="R12" s="681"/>
      <c r="S12" s="764">
        <v>15</v>
      </c>
    </row>
    <row customHeight="1" ht="35.699999999999996">
      <c r="C13" s="182"/>
      <c r="D13" s="767" t="s">
        <v>89</v>
      </c>
      <c r="E13" s="766" t="s">
        <v>318</v>
      </c>
      <c r="F13" s="766" t="s">
        <v>603</v>
      </c>
      <c r="G13" s="814" t="s">
        <v>319</v>
      </c>
      <c r="H13" s="760" t="s">
        <v>319</v>
      </c>
      <c r="I13" s="2133"/>
      <c r="S13" s="511">
        <v>34</v>
      </c>
    </row>
    <row customHeight="1" ht="15" hidden="1">
      <c r="C14" s="182"/>
      <c r="D14" s="599" t="s">
        <v>111</v>
      </c>
      <c r="E14" s="599" t="s">
        <v>112</v>
      </c>
      <c r="F14" s="599" t="s">
        <v>91</v>
      </c>
      <c r="G14" s="665" t="str">
        <f>G1&amp;".1"</f>
        <v>.1</v>
      </c>
      <c r="H14" s="665" t="str">
        <f>H1&amp;".1"</f>
        <v>4.1</v>
      </c>
      <c r="I14" s="295"/>
      <c r="S14" s="511">
        <v>0</v>
      </c>
    </row>
    <row customHeight="1" ht="15.75">
      <c r="A15" s="511"/>
      <c r="C15" s="532"/>
      <c r="D15" s="527">
        <v>1</v>
      </c>
      <c r="E15" s="1936" t="str">
        <f>TP_P_A</f>
        <v>Количество поданных заявлений </v>
      </c>
      <c r="F15" s="527" t="s">
        <v>1151</v>
      </c>
      <c r="G15" s="691"/>
      <c r="H15" s="691"/>
      <c r="I15" s="2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511">
        <v>15</v>
      </c>
    </row>
    <row customHeight="1" ht="15.75">
      <c r="A16" s="511"/>
      <c r="C16" s="532"/>
      <c r="D16" s="527">
        <v>2</v>
      </c>
      <c r="E16" s="1936" t="str">
        <f>TP_P_B</f>
        <v>Количество исполненных заявлений </v>
      </c>
      <c r="F16" s="527" t="s">
        <v>1151</v>
      </c>
      <c r="G16" s="691"/>
      <c r="H16" s="691"/>
      <c r="I16" s="2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511">
        <v>15</v>
      </c>
    </row>
    <row customHeight="1" ht="77.7">
      <c r="A17" s="511"/>
      <c r="C17" s="532"/>
      <c r="D17" s="527">
        <v>3</v>
      </c>
      <c r="E17" s="1936"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7" t="s">
        <v>1151</v>
      </c>
      <c r="G17" s="691"/>
      <c r="H17" s="691"/>
      <c r="I17" s="21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511">
        <v>74</v>
      </c>
    </row>
    <row customHeight="1" ht="54.75">
      <c r="A18" s="511"/>
      <c r="C18" s="532"/>
      <c r="D18" s="527">
        <v>4</v>
      </c>
      <c r="E18" s="1936"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7" t="s">
        <v>322</v>
      </c>
      <c r="G18" s="692"/>
      <c r="H18" s="692"/>
      <c r="I18" s="8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511">
        <v>52</v>
      </c>
    </row>
    <row customHeight="1" ht="60">
      <c r="A19" s="511"/>
      <c r="C19" s="532"/>
      <c r="D19" s="527">
        <v>5</v>
      </c>
      <c r="E19" s="1936"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7" t="str">
        <f>IF(TEMPLATE_SPHERE="HEAT","Гкал/час","тыс. куб. м/сутки")</f>
        <v>тыс. куб. м/сутки</v>
      </c>
      <c r="G19" s="693">
        <f>SUM(G20:G22)</f>
        <v>0</v>
      </c>
      <c r="H19" s="693">
        <f>SUM(H20:H22)</f>
        <v>0</v>
      </c>
      <c r="I19" s="21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511">
        <v>57</v>
      </c>
    </row>
    <row customHeight="1" ht="15" hidden="1">
      <c r="D20" s="515" t="s">
        <v>1152</v>
      </c>
      <c r="E20" s="694"/>
      <c r="F20" s="515"/>
      <c r="G20" s="515"/>
      <c r="H20" s="515"/>
      <c r="I20" s="1769"/>
      <c r="S20" s="511">
        <v>0</v>
      </c>
    </row>
    <row customHeight="1" ht="29.25">
      <c r="C21" s="457"/>
      <c r="D21" s="545" t="s">
        <v>329</v>
      </c>
      <c r="E21" s="676"/>
      <c r="F21" s="1767" t="str">
        <f>IF(TEMPLATE_SPHERE="HEAT","Гкал/час","тыс. куб. м/сутки")</f>
        <v>тыс. куб. м/сутки</v>
      </c>
      <c r="G21" s="686"/>
      <c r="H21" s="686"/>
      <c r="I21" s="217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511">
        <v>28</v>
      </c>
    </row>
    <row customHeight="1" ht="15.75">
      <c r="A22" s="511"/>
      <c r="C22" s="511"/>
      <c r="D22" s="353"/>
      <c r="E22" s="586" t="s">
        <v>1153</v>
      </c>
      <c r="F22" s="578"/>
      <c r="G22" s="578"/>
      <c r="H22" s="578"/>
      <c r="I22" s="2177"/>
      <c r="R22" s="511"/>
      <c r="S22" s="511">
        <v>15</v>
      </c>
    </row>
    <row customHeight="1" ht="22.5" hidden="1">
      <c r="A23" s="455" t="s">
        <v>83</v>
      </c>
      <c r="B23" s="511">
        <v>0</v>
      </c>
      <c r="C23" s="689">
        <v>4</v>
      </c>
      <c r="D23" s="511">
        <v>6</v>
      </c>
      <c r="E23" s="511">
        <v>36</v>
      </c>
      <c r="F23" s="511">
        <v>9</v>
      </c>
      <c r="G23" s="764">
        <v>0</v>
      </c>
      <c r="H23" s="511">
        <v>40</v>
      </c>
      <c r="I23" s="423">
        <v>93</v>
      </c>
      <c r="J23" s="511">
        <v>10</v>
      </c>
      <c r="K23" s="511">
        <v>10</v>
      </c>
      <c r="L23" s="511">
        <v>10</v>
      </c>
      <c r="M23" s="511">
        <v>10</v>
      </c>
      <c r="N23" s="511">
        <v>10</v>
      </c>
      <c r="O23" s="511">
        <v>10</v>
      </c>
      <c r="P23" s="511">
        <v>10</v>
      </c>
      <c r="Q23" s="511">
        <v>10</v>
      </c>
      <c r="R23" s="681">
        <v>10</v>
      </c>
      <c r="S23" s="511">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191A0E-6A75-928A-D16B-33964EE8A4CD}"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6" style="1641" width="64.00390625" customWidth="1"/>
    <col min="7" max="7" style="1641" width="140.00390625" customWidth="1"/>
    <col min="8" max="8" style="1641" width="10.00390625" customWidth="1"/>
    <col min="9" max="10" style="1630" width="10.00390625" customWidth="1"/>
    <col min="11" max="16" style="1641" width="10.00390625" customWidth="1"/>
    <col min="17" max="17" style="1641" width="10.57421875" hidden="1"/>
  </cols>
  <sheetData>
    <row customHeight="1" ht="22.5" hidden="1">
      <c r="M1" s="261"/>
      <c r="N1" s="261"/>
      <c r="P1" s="261"/>
      <c r="Q1" s="89" t="s">
        <v>14</v>
      </c>
    </row>
    <row customHeight="1" ht="14.25" hidden="1">
      <c r="Q2" s="89">
        <v>0</v>
      </c>
    </row>
    <row customHeight="1" ht="14.25" hidden="1">
      <c r="Q3" s="89">
        <v>0</v>
      </c>
    </row>
    <row customHeight="1" ht="3">
      <c r="C4" s="102"/>
      <c r="D4" s="90"/>
      <c r="E4" s="90"/>
      <c r="F4" s="91"/>
      <c r="G4" s="91"/>
      <c r="Q4" s="89">
        <v>3</v>
      </c>
    </row>
    <row customHeight="1" ht="29.25">
      <c r="C5" s="102"/>
      <c r="D5" s="246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61"/>
      <c r="F5" s="2461"/>
      <c r="G5" s="2462"/>
      <c r="Q5" s="89">
        <v>28</v>
      </c>
    </row>
    <row s="1641" customFormat="1" customHeight="1" ht="18.75">
      <c r="A6" s="888"/>
      <c r="B6" s="423"/>
      <c r="C6" s="382"/>
      <c r="D6" s="2463" t="str">
        <f>IF(org=0,"Не определено",org)</f>
        <v>АО «ДГК» СП «Нерюнгринская ГРЭС»</v>
      </c>
      <c r="E6" s="2464"/>
      <c r="F6" s="2464"/>
      <c r="G6" s="2465"/>
      <c r="I6" s="506"/>
      <c r="J6" s="506"/>
      <c r="Q6" s="764">
        <v>18</v>
      </c>
    </row>
    <row customHeight="1" ht="14.699999999999998">
      <c r="C7" s="102"/>
      <c r="D7" s="90"/>
      <c r="E7" s="101"/>
      <c r="F7" s="758"/>
      <c r="G7" s="199"/>
      <c r="Q7" s="89">
        <v>14</v>
      </c>
    </row>
    <row s="1641" customFormat="1" customHeight="1" ht="1.05">
      <c r="A8" s="1675"/>
      <c r="B8" s="1166"/>
      <c r="C8" s="382"/>
      <c r="D8" s="369"/>
      <c r="E8" s="395"/>
      <c r="F8" s="758"/>
      <c r="G8" s="199"/>
      <c r="I8" s="1630"/>
      <c r="J8" s="1630"/>
      <c r="Q8" s="1637">
        <v>1</v>
      </c>
    </row>
    <row customHeight="1" ht="14.699999999999998">
      <c r="C9" s="102"/>
      <c r="D9" s="2215" t="s">
        <v>316</v>
      </c>
      <c r="E9" s="2215"/>
      <c r="F9" s="2215"/>
      <c r="G9" s="2395" t="s">
        <v>317</v>
      </c>
      <c r="Q9" s="89">
        <v>14</v>
      </c>
    </row>
    <row customHeight="1" ht="24">
      <c r="C10" s="102"/>
      <c r="D10" s="111" t="s">
        <v>89</v>
      </c>
      <c r="E10" s="114" t="s">
        <v>318</v>
      </c>
      <c r="F10" s="114" t="s">
        <v>406</v>
      </c>
      <c r="G10" s="2395"/>
      <c r="Q10" s="89">
        <v>23</v>
      </c>
    </row>
    <row customHeight="1" ht="12" hidden="1">
      <c r="C11" s="102"/>
      <c r="D11" s="93"/>
      <c r="E11" s="93"/>
      <c r="F11" s="93"/>
      <c r="G11" s="93"/>
      <c r="Q11" s="89">
        <v>0</v>
      </c>
    </row>
    <row customHeight="1" ht="65.25">
      <c r="A12" s="198"/>
      <c r="C12" s="102"/>
      <c r="D12" s="153">
        <v>1</v>
      </c>
      <c r="E12" s="20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4" t="s">
        <v>322</v>
      </c>
      <c r="G12" s="157"/>
      <c r="Q12" s="89">
        <v>62</v>
      </c>
    </row>
    <row customHeight="1" ht="24">
      <c r="A13" s="198"/>
      <c r="C13" s="102"/>
      <c r="D13" s="153" t="s">
        <v>1058</v>
      </c>
      <c r="E13" s="20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4" t="s">
        <v>322</v>
      </c>
      <c r="G13" s="157"/>
      <c r="Q13" s="89">
        <v>23</v>
      </c>
    </row>
    <row customHeight="1" ht="14.699999999999998">
      <c r="A14" s="198"/>
      <c r="C14" s="102"/>
      <c r="D14" s="153" t="s">
        <v>1094</v>
      </c>
      <c r="E14" s="201"/>
      <c r="F14" s="219"/>
      <c r="G14" s="217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9">
        <v>14</v>
      </c>
    </row>
    <row customHeight="1" ht="15.75">
      <c r="A15" s="198"/>
      <c r="C15" s="102"/>
      <c r="D15" s="115"/>
      <c r="E15" s="355" t="s">
        <v>1154</v>
      </c>
      <c r="F15" s="207"/>
      <c r="G15" s="2177"/>
      <c r="Q15" s="89">
        <v>15</v>
      </c>
    </row>
    <row customHeight="1" ht="14.699999999999998">
      <c r="A16" s="198"/>
      <c r="C16" s="102"/>
      <c r="D16" s="153" t="s">
        <v>1060</v>
      </c>
      <c r="E16" s="20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4" t="s">
        <v>322</v>
      </c>
      <c r="G16" s="343"/>
      <c r="Q16" s="89">
        <v>14</v>
      </c>
    </row>
    <row customHeight="1" ht="14.699999999999998">
      <c r="A17" s="198"/>
      <c r="C17" s="102"/>
      <c r="D17" s="153" t="s">
        <v>1102</v>
      </c>
      <c r="E17" s="201"/>
      <c r="F17" s="391"/>
      <c r="G17" s="217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9">
        <v>14</v>
      </c>
    </row>
    <row s="1641" customFormat="1" customHeight="1" ht="22.049999999999997">
      <c r="A18" s="349"/>
      <c r="B18" s="152"/>
      <c r="C18" s="313"/>
      <c r="D18" s="353"/>
      <c r="E18" s="355" t="s">
        <v>1155</v>
      </c>
      <c r="F18" s="344"/>
      <c r="G18" s="2177"/>
      <c r="I18" s="356"/>
      <c r="J18" s="356"/>
      <c r="Q18" s="348">
        <v>21</v>
      </c>
    </row>
    <row s="1641" customFormat="1" customHeight="1" ht="256.5" hidden="1">
      <c r="A19" s="349"/>
      <c r="B19" s="423"/>
      <c r="C19" s="382"/>
      <c r="D19" s="890" t="s">
        <v>1062</v>
      </c>
      <c r="E19" s="889" t="s">
        <v>1156</v>
      </c>
      <c r="F19" s="391"/>
      <c r="G19" s="343" t="s">
        <v>1157</v>
      </c>
      <c r="I19" s="506"/>
      <c r="J19" s="506"/>
      <c r="Q19" s="764">
        <v>0</v>
      </c>
    </row>
    <row s="1641" customFormat="1" customHeight="1" ht="14.699999999999998">
      <c r="A20" s="349"/>
      <c r="B20" s="152"/>
      <c r="C20" s="313"/>
      <c r="D20" s="891">
        <v>2</v>
      </c>
      <c r="E20" s="336" t="s">
        <v>1158</v>
      </c>
      <c r="F20" s="204" t="s">
        <v>322</v>
      </c>
      <c r="G20" s="343"/>
      <c r="I20" s="356"/>
      <c r="J20" s="356"/>
      <c r="Q20" s="348">
        <v>14</v>
      </c>
    </row>
    <row s="1641" customFormat="1" customHeight="1" ht="18.75" hidden="1">
      <c r="A21" s="349"/>
      <c r="B21" s="152"/>
      <c r="C21" s="313"/>
      <c r="D21" s="339" t="s">
        <v>673</v>
      </c>
      <c r="E21" s="338"/>
      <c r="F21" s="337"/>
      <c r="G21" s="347"/>
      <c r="H21" s="340"/>
      <c r="I21" s="356"/>
      <c r="J21" s="356"/>
      <c r="Q21" s="348">
        <v>0</v>
      </c>
    </row>
    <row customHeight="1" ht="15.75">
      <c r="A22" s="198"/>
      <c r="C22" s="102"/>
      <c r="D22" s="115"/>
      <c r="E22" s="209" t="s">
        <v>338</v>
      </c>
      <c r="F22" s="344"/>
      <c r="G22" s="345"/>
      <c r="Q22" s="89">
        <v>15</v>
      </c>
    </row>
    <row s="1641" customFormat="1" customHeight="1" ht="22.5" hidden="1">
      <c r="A23" s="349"/>
      <c r="B23" s="1166"/>
      <c r="C23" s="382"/>
      <c r="D23" s="1679" t="s">
        <v>112</v>
      </c>
      <c r="E23" s="203" t="s">
        <v>1159</v>
      </c>
      <c r="F23" s="1676" t="s">
        <v>322</v>
      </c>
      <c r="G23" s="351"/>
      <c r="I23" s="1630"/>
      <c r="J23" s="1630"/>
      <c r="Q23" s="1637">
        <v>0</v>
      </c>
    </row>
    <row s="1641" customFormat="1" customHeight="1" ht="14.25" hidden="1">
      <c r="A24" s="349"/>
      <c r="B24" s="1166"/>
      <c r="C24" s="382"/>
      <c r="D24" s="1679" t="s">
        <v>745</v>
      </c>
      <c r="E24" s="1678" t="s">
        <v>1160</v>
      </c>
      <c r="F24" s="1676" t="s">
        <v>322</v>
      </c>
      <c r="G24" s="343"/>
      <c r="I24" s="1630"/>
      <c r="J24" s="1630"/>
      <c r="Q24" s="1637">
        <v>0</v>
      </c>
    </row>
    <row s="1641" customFormat="1" customHeight="1" ht="14.25" hidden="1">
      <c r="A25" s="349"/>
      <c r="B25" s="1166"/>
      <c r="C25" s="382"/>
      <c r="D25" s="1679" t="s">
        <v>748</v>
      </c>
      <c r="E25" s="201"/>
      <c r="F25" s="391"/>
      <c r="G25" s="2175" t="s">
        <v>1161</v>
      </c>
      <c r="I25" s="1630"/>
      <c r="J25" s="1630"/>
      <c r="Q25" s="1637">
        <v>0</v>
      </c>
    </row>
    <row s="1641" customFormat="1" customHeight="1" ht="22.5" hidden="1">
      <c r="A26" s="349"/>
      <c r="B26" s="1166"/>
      <c r="C26" s="382"/>
      <c r="D26" s="353"/>
      <c r="E26" s="355" t="s">
        <v>1162</v>
      </c>
      <c r="F26" s="344"/>
      <c r="G26" s="2177"/>
      <c r="I26" s="1630"/>
      <c r="J26" s="1630"/>
      <c r="Q26" s="1637">
        <v>0</v>
      </c>
    </row>
    <row customHeight="1" ht="3">
      <c r="Q27" s="89">
        <v>3</v>
      </c>
    </row>
    <row customHeight="1" ht="14.699999999999998">
      <c r="D28" s="342"/>
      <c r="E28" s="341"/>
      <c r="F28" s="321"/>
      <c r="G28" s="321"/>
      <c r="H28" s="321"/>
      <c r="I28" s="321"/>
      <c r="J28" s="321"/>
      <c r="K28" s="321"/>
      <c r="L28" s="321"/>
      <c r="M28" s="321"/>
      <c r="N28" s="321"/>
      <c r="O28" s="321"/>
      <c r="P28" s="321"/>
      <c r="Q28" s="89">
        <v>14</v>
      </c>
    </row>
    <row customHeight="1" ht="14.699999999999998">
      <c r="D29" s="342"/>
      <c r="E29" s="588"/>
      <c r="Q29" s="89">
        <v>14</v>
      </c>
    </row>
    <row customHeight="1" ht="14.699999999999998">
      <c r="Q30" s="89">
        <v>14</v>
      </c>
    </row>
    <row customHeight="1" ht="14.699999999999998">
      <c r="E31" s="764"/>
      <c r="Q31" s="89">
        <v>14</v>
      </c>
    </row>
    <row customHeight="1" ht="22.5" hidden="1">
      <c r="A32" s="107" t="s">
        <v>83</v>
      </c>
      <c r="B32" s="152">
        <v>0</v>
      </c>
      <c r="C32" s="103">
        <v>3</v>
      </c>
      <c r="D32" s="89">
        <v>6</v>
      </c>
      <c r="E32" s="89">
        <v>64</v>
      </c>
      <c r="F32" s="89">
        <v>64</v>
      </c>
      <c r="G32" s="89">
        <v>140</v>
      </c>
      <c r="H32" s="89">
        <v>10</v>
      </c>
      <c r="I32" s="161">
        <v>10</v>
      </c>
      <c r="J32" s="161">
        <v>10</v>
      </c>
      <c r="K32" s="89">
        <v>10</v>
      </c>
      <c r="L32" s="89">
        <v>10</v>
      </c>
      <c r="M32" s="89">
        <v>10</v>
      </c>
      <c r="N32" s="89">
        <v>10</v>
      </c>
      <c r="O32" s="89">
        <v>10</v>
      </c>
      <c r="P32" s="89">
        <v>10</v>
      </c>
      <c r="Q32" s="89">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BC08F3-7E4C-852F-7A0E-E78EAAB8AC06}" mc:Ignorable="x14ac xr xr2 xr3">
  <sheetPr>
    <tabColor theme="6" tint="0.4"/>
  </sheetPr>
  <dimension ref="A1:M45"/>
  <sheetViews>
    <sheetView showGridLines="0" zoomScale="90" workbookViewId="0">
      <pane xSplit="6" ySplit="21" topLeftCell="G22" activePane="bottomRight" state="frozen"/>
      <selection pane="bottomLeft" activeCell="A22" sqref="A22"/>
      <selection pane="topRight" activeCell="G1" sqref="G1"/>
      <selection pane="bottomRight" activeCell="G29" sqref="G29:G31"/>
    </sheetView>
  </sheetViews>
  <sheetFormatPr defaultColWidth="10.57421875" customHeight="1" defaultRowHeight="14.25"/>
  <cols>
    <col min="1" max="1" style="1782" width="9.140625" hidden="1" customWidth="1"/>
    <col min="2" max="2" style="1372" width="9.140625" hidden="1" customWidth="1"/>
    <col min="3" max="3" style="350" width="3.00390625" customWidth="1"/>
    <col min="4" max="4" style="1641" width="6.00390625" customWidth="1"/>
    <col min="5" max="5" style="1641" width="63.00390625" customWidth="1"/>
    <col min="6" max="6" style="1641" width="1.7109375" hidden="1" customWidth="1"/>
    <col min="7" max="8" style="1641" width="35.00390625" customWidth="1"/>
    <col min="9" max="9" style="1641" width="91.00390625" customWidth="1"/>
    <col min="10" max="10" style="1641" width="68.00390625" customWidth="1"/>
    <col min="11" max="12" style="1630" width="10.00390625" customWidth="1"/>
    <col min="13" max="13" style="1641" width="10.57421875" hidden="1"/>
  </cols>
  <sheetData>
    <row customHeight="1" ht="22.5" hidden="1">
      <c r="M1" s="89" t="s">
        <v>14</v>
      </c>
    </row>
    <row s="1641" customFormat="1" customHeight="1" ht="18.75" hidden="1">
      <c r="A2" s="1689"/>
      <c r="B2" s="1166"/>
      <c r="C2" s="1736" t="s">
        <v>253</v>
      </c>
      <c r="D2" s="1679"/>
      <c r="E2" s="205"/>
      <c r="F2" s="1676"/>
      <c r="G2" s="1676" t="s">
        <v>322</v>
      </c>
      <c r="H2" s="1167"/>
      <c r="K2" s="1630"/>
      <c r="L2" s="1630"/>
      <c r="M2" s="1637">
        <v>0</v>
      </c>
    </row>
    <row s="1641" customFormat="1" customHeight="1" ht="14.25" hidden="1">
      <c r="A3" s="1368"/>
      <c r="B3" s="1166"/>
      <c r="C3" s="350"/>
      <c r="K3" s="1630"/>
      <c r="L3" s="1630"/>
      <c r="M3" s="1637">
        <v>0</v>
      </c>
    </row>
    <row s="1641" customFormat="1" customHeight="1" ht="18.75" hidden="1">
      <c r="A4" s="1689"/>
      <c r="B4" s="1166"/>
      <c r="C4" s="1736" t="s">
        <v>253</v>
      </c>
      <c r="D4" s="1679"/>
      <c r="E4" s="211" t="s">
        <v>1163</v>
      </c>
      <c r="F4" s="1676"/>
      <c r="G4" s="263"/>
      <c r="H4" s="1676" t="s">
        <v>322</v>
      </c>
      <c r="K4" s="1630"/>
      <c r="L4" s="1630"/>
      <c r="M4" s="1637">
        <v>0</v>
      </c>
    </row>
    <row s="1641" customFormat="1" customHeight="1" ht="14.25" hidden="1">
      <c r="A5" s="1368"/>
      <c r="B5" s="1166"/>
      <c r="C5" s="350"/>
      <c r="K5" s="1630"/>
      <c r="L5" s="1630"/>
      <c r="M5" s="1637">
        <v>0</v>
      </c>
    </row>
    <row s="1641" customFormat="1" customHeight="1" ht="18.75" hidden="1">
      <c r="A6" s="1689"/>
      <c r="B6" s="1166"/>
      <c r="C6" s="1736" t="s">
        <v>253</v>
      </c>
      <c r="D6" s="1679"/>
      <c r="E6" s="212" t="s">
        <v>1164</v>
      </c>
      <c r="F6" s="1676"/>
      <c r="G6" s="263"/>
      <c r="H6" s="1676" t="s">
        <v>322</v>
      </c>
      <c r="K6" s="1630"/>
      <c r="L6" s="1630"/>
      <c r="M6" s="1637">
        <v>0</v>
      </c>
    </row>
    <row s="1641" customFormat="1" customHeight="1" ht="14.25" hidden="1">
      <c r="A7" s="1368"/>
      <c r="B7" s="1166"/>
      <c r="C7" s="350"/>
      <c r="K7" s="1630"/>
      <c r="L7" s="1630"/>
      <c r="M7" s="1637">
        <v>0</v>
      </c>
    </row>
    <row s="1641" customFormat="1" customHeight="1" ht="18.75" hidden="1">
      <c r="A8" s="1689"/>
      <c r="B8" s="1166"/>
      <c r="C8" s="1736" t="s">
        <v>253</v>
      </c>
      <c r="D8" s="1679"/>
      <c r="E8" s="212" t="s">
        <v>1165</v>
      </c>
      <c r="F8" s="1676"/>
      <c r="G8" s="263"/>
      <c r="H8" s="1676" t="s">
        <v>322</v>
      </c>
      <c r="K8" s="1630"/>
      <c r="L8" s="1630"/>
      <c r="M8" s="1637">
        <v>0</v>
      </c>
    </row>
    <row s="1641" customFormat="1" customHeight="1" ht="14.25" hidden="1">
      <c r="A9" s="1368"/>
      <c r="B9" s="1166"/>
      <c r="C9" s="350"/>
      <c r="K9" s="1630"/>
      <c r="L9" s="1630"/>
      <c r="M9" s="1637">
        <v>0</v>
      </c>
    </row>
    <row s="1641" customFormat="1" customHeight="1" ht="18.75" hidden="1">
      <c r="A10" s="1689"/>
      <c r="B10" s="1166"/>
      <c r="C10" s="1736" t="s">
        <v>253</v>
      </c>
      <c r="D10" s="1679"/>
      <c r="E10" s="212" t="s">
        <v>1166</v>
      </c>
      <c r="F10" s="1676"/>
      <c r="G10" s="1680"/>
      <c r="H10" s="1676" t="s">
        <v>322</v>
      </c>
      <c r="K10" s="1630"/>
      <c r="L10" s="1630" t="s">
        <v>1167</v>
      </c>
      <c r="M10" s="1637">
        <v>0</v>
      </c>
    </row>
    <row customHeight="1" ht="14.25" hidden="1">
      <c r="M11" s="89">
        <v>0</v>
      </c>
    </row>
    <row customHeight="1" ht="14.25" hidden="1">
      <c r="M12" s="89">
        <v>0</v>
      </c>
    </row>
    <row customHeight="1" ht="14.699999999999998">
      <c r="C13" s="102"/>
      <c r="D13" s="90"/>
      <c r="E13" s="90"/>
      <c r="F13" s="90"/>
      <c r="G13" s="90"/>
      <c r="H13" s="91"/>
      <c r="I13" s="91"/>
      <c r="M13" s="89">
        <v>14</v>
      </c>
    </row>
    <row customHeight="1" ht="29.25">
      <c r="C14" s="102"/>
      <c r="D14" s="246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61"/>
      <c r="F14" s="2461"/>
      <c r="G14" s="2461"/>
      <c r="H14" s="2462"/>
      <c r="J14" s="1637"/>
      <c r="M14" s="89">
        <v>28</v>
      </c>
    </row>
    <row s="1641" customFormat="1" customHeight="1" ht="14.699999999999998">
      <c r="A15" s="1368"/>
      <c r="B15" s="1166"/>
      <c r="C15" s="382"/>
      <c r="D15" s="2463" t="str">
        <f>IF(org=0,"Не определено",org)</f>
        <v>АО «ДГК» СП «Нерюнгринская ГРЭС»</v>
      </c>
      <c r="E15" s="2464"/>
      <c r="F15" s="2464"/>
      <c r="G15" s="2464"/>
      <c r="H15" s="2465"/>
      <c r="J15" s="858"/>
      <c r="K15" s="1630"/>
      <c r="L15" s="1630"/>
      <c r="M15" s="1637">
        <v>14</v>
      </c>
    </row>
    <row customHeight="1" ht="14.699999999999998">
      <c r="C16" s="102"/>
      <c r="D16" s="90"/>
      <c r="E16" s="101"/>
      <c r="F16" s="101"/>
      <c r="G16" s="101"/>
      <c r="H16" s="758"/>
      <c r="I16" s="199"/>
      <c r="M16" s="89">
        <v>14</v>
      </c>
    </row>
    <row s="1641" customFormat="1" customHeight="1" ht="14.25" hidden="1">
      <c r="A17" s="1368"/>
      <c r="B17" s="1166"/>
      <c r="C17" s="382"/>
      <c r="D17" s="369"/>
      <c r="E17" s="395"/>
      <c r="F17" s="395"/>
      <c r="G17" s="395"/>
      <c r="H17" s="758"/>
      <c r="I17" s="199"/>
      <c r="K17" s="1630"/>
      <c r="L17" s="1630"/>
      <c r="M17" s="1637">
        <v>0</v>
      </c>
    </row>
    <row customHeight="1" ht="22.049999999999997">
      <c r="C18" s="102"/>
      <c r="D18" s="2215" t="s">
        <v>316</v>
      </c>
      <c r="E18" s="2215"/>
      <c r="F18" s="2215"/>
      <c r="G18" s="2215"/>
      <c r="H18" s="2215"/>
      <c r="I18" s="2395" t="s">
        <v>317</v>
      </c>
      <c r="M18" s="89">
        <v>21</v>
      </c>
    </row>
    <row customHeight="1" ht="22.049999999999997">
      <c r="C19" s="102"/>
      <c r="D19" s="111" t="s">
        <v>89</v>
      </c>
      <c r="E19" s="114" t="s">
        <v>318</v>
      </c>
      <c r="F19" s="114"/>
      <c r="G19" s="114" t="s">
        <v>319</v>
      </c>
      <c r="H19" s="114" t="s">
        <v>406</v>
      </c>
      <c r="I19" s="2395"/>
      <c r="M19" s="89">
        <v>21</v>
      </c>
    </row>
    <row customHeight="1" ht="12" hidden="1">
      <c r="C20" s="102"/>
      <c r="D20" s="93"/>
      <c r="E20" s="93"/>
      <c r="F20" s="93"/>
      <c r="G20" s="93"/>
      <c r="H20" s="93"/>
      <c r="I20" s="93"/>
      <c r="M20" s="89">
        <v>0</v>
      </c>
    </row>
    <row customHeight="1" ht="14.699999999999998">
      <c r="A21" s="1689"/>
      <c r="C21" s="102"/>
      <c r="D21" s="153">
        <v>1</v>
      </c>
      <c r="E21" s="2467" t="s">
        <v>1168</v>
      </c>
      <c r="F21" s="2467"/>
      <c r="G21" s="2467"/>
      <c r="H21" s="2467"/>
      <c r="I21" s="214"/>
      <c r="M21" s="89">
        <v>14</v>
      </c>
    </row>
    <row customHeight="1" ht="21">
      <c r="A22" s="1689"/>
      <c r="C22" s="102"/>
      <c r="D22" s="153" t="s">
        <v>1058</v>
      </c>
      <c r="E22" s="200" t="s">
        <v>1169</v>
      </c>
      <c r="F22" s="204"/>
      <c r="G22" s="1743">
        <v>44711</v>
      </c>
      <c r="H22" s="204" t="s">
        <v>322</v>
      </c>
      <c r="I22" s="157" t="s">
        <v>1170</v>
      </c>
      <c r="M22" s="89">
        <v>20</v>
      </c>
    </row>
    <row customHeight="1" ht="60">
      <c r="A23" s="1689"/>
      <c r="C23" s="102"/>
      <c r="D23" s="153" t="s">
        <v>1060</v>
      </c>
      <c r="E23" s="200" t="s">
        <v>1171</v>
      </c>
      <c r="F23" s="204"/>
      <c r="G23" s="263" t="s">
        <v>1172</v>
      </c>
      <c r="H23" s="7653" t="s">
        <v>1173</v>
      </c>
      <c r="I23" s="264" t="s">
        <v>1174</v>
      </c>
      <c r="M23" s="89">
        <v>57</v>
      </c>
    </row>
    <row customHeight="1" ht="50">
      <c r="A24" s="1689"/>
      <c r="B24" s="152">
        <v>3</v>
      </c>
      <c r="C24" s="102"/>
      <c r="D24" s="153">
        <v>2</v>
      </c>
      <c r="E24" s="22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4"/>
      <c r="G24" s="204" t="s">
        <v>322</v>
      </c>
      <c r="H24" s="7653" t="s">
        <v>1175</v>
      </c>
      <c r="I24" s="265" t="s">
        <v>668</v>
      </c>
      <c r="M24" s="89">
        <v>14</v>
      </c>
    </row>
    <row customHeight="1" ht="48.29999999999999">
      <c r="A25" s="1689"/>
      <c r="C25" s="102"/>
      <c r="D25" s="153">
        <v>3</v>
      </c>
      <c r="E25" s="24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6"/>
      <c r="G25" s="2466"/>
      <c r="H25" s="2466"/>
      <c r="I25" s="262"/>
      <c r="M25" s="89">
        <v>46</v>
      </c>
    </row>
    <row customHeight="1" ht="86.66666666666667">
      <c r="A26" s="1689"/>
      <c r="C26" s="102"/>
      <c r="D26" s="153" t="s">
        <v>340</v>
      </c>
      <c r="E26" s="205" t="s">
        <v>1176</v>
      </c>
      <c r="F26" s="204"/>
      <c r="G26" s="204" t="s">
        <v>322</v>
      </c>
      <c r="H26" s="7653" t="s">
        <v>1175</v>
      </c>
      <c r="I26" s="2175" t="s">
        <v>1177</v>
      </c>
      <c r="M26" s="89">
        <v>14</v>
      </c>
    </row>
    <row customHeight="1" ht="15.75">
      <c r="A27" s="1689" t="s">
        <v>111</v>
      </c>
      <c r="C27" s="102"/>
      <c r="D27" s="115"/>
      <c r="E27" s="209" t="s">
        <v>338</v>
      </c>
      <c r="F27" s="210"/>
      <c r="G27" s="210"/>
      <c r="H27" s="207"/>
      <c r="I27" s="2177"/>
      <c r="M27" s="89">
        <v>15</v>
      </c>
    </row>
    <row customHeight="1" ht="39.75">
      <c r="A28" s="1689"/>
      <c r="B28" s="152">
        <v>3</v>
      </c>
      <c r="C28" s="102"/>
      <c r="D28" s="153">
        <v>4</v>
      </c>
      <c r="E28" s="24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6"/>
      <c r="G28" s="2466"/>
      <c r="H28" s="2466"/>
      <c r="I28" s="262"/>
      <c r="M28" s="89">
        <v>38</v>
      </c>
    </row>
    <row customHeight="1" ht="64.16666666666667">
      <c r="A29" s="1689"/>
      <c r="C29" s="102"/>
      <c r="D29" s="153" t="s">
        <v>790</v>
      </c>
      <c r="E29" s="211" t="s">
        <v>1163</v>
      </c>
      <c r="F29" s="204"/>
      <c r="G29" s="263" t="s">
        <v>1178</v>
      </c>
      <c r="H29" s="204" t="s">
        <v>322</v>
      </c>
      <c r="I29" s="2175" t="s">
        <v>1179</v>
      </c>
      <c r="M29" s="89">
        <v>20</v>
      </c>
    </row>
    <row s="1641" customFormat="1" customHeight="1" ht="99.16666666666667">
      <c r="A30" s="1689"/>
      <c r="B30" s="1372"/>
      <c r="C30" s="1736" t="s">
        <v>253</v>
      </c>
      <c r="D30" s="2210" t="s">
        <v>832</v>
      </c>
      <c r="E30" s="2409" t="s">
        <v>1163</v>
      </c>
      <c r="F30" s="2583"/>
      <c r="G30" s="2575" t="s">
        <v>1180</v>
      </c>
      <c r="H30" s="2583" t="s">
        <v>322</v>
      </c>
      <c r="I30" s="1641"/>
      <c r="J30" s="1641"/>
      <c r="K30" s="1630"/>
      <c r="L30" s="1630"/>
      <c r="M30" s="1641">
        <v>0</v>
      </c>
    </row>
    <row s="1641" customFormat="1" customHeight="1" ht="136.66666666666666">
      <c r="A31" s="1689"/>
      <c r="B31" s="1372"/>
      <c r="C31" s="1736" t="s">
        <v>253</v>
      </c>
      <c r="D31" s="2210" t="s">
        <v>835</v>
      </c>
      <c r="E31" s="2409" t="s">
        <v>1163</v>
      </c>
      <c r="F31" s="2583"/>
      <c r="G31" s="2575" t="s">
        <v>1181</v>
      </c>
      <c r="H31" s="2583" t="s">
        <v>322</v>
      </c>
      <c r="I31" s="1641"/>
      <c r="J31" s="1641"/>
      <c r="K31" s="1630"/>
      <c r="L31" s="1630"/>
      <c r="M31" s="1641">
        <v>0</v>
      </c>
    </row>
    <row customHeight="1" ht="15.75">
      <c r="A32" s="1689" t="s">
        <v>112</v>
      </c>
      <c r="C32" s="102"/>
      <c r="D32" s="115"/>
      <c r="E32" s="209" t="s">
        <v>338</v>
      </c>
      <c r="F32" s="210"/>
      <c r="G32" s="210"/>
      <c r="H32" s="207"/>
      <c r="I32" s="2177"/>
      <c r="M32" s="89">
        <v>15</v>
      </c>
    </row>
    <row customHeight="1" ht="31.5">
      <c r="A33" s="1689"/>
      <c r="B33" s="152">
        <v>3</v>
      </c>
      <c r="C33" s="102"/>
      <c r="D33" s="153">
        <v>5</v>
      </c>
      <c r="E33" s="24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2466"/>
      <c r="G33" s="2466"/>
      <c r="H33" s="2466"/>
      <c r="I33" s="262"/>
      <c r="M33" s="89">
        <v>30</v>
      </c>
    </row>
    <row customHeight="1" ht="27.299999999999997">
      <c r="A34" s="1689"/>
      <c r="C34" s="102"/>
      <c r="D34" s="153" t="s">
        <v>329</v>
      </c>
      <c r="E34" s="24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4" s="2409"/>
      <c r="G34" s="2409"/>
      <c r="H34" s="2409"/>
      <c r="I34" s="262"/>
      <c r="M34" s="89">
        <v>26</v>
      </c>
    </row>
    <row customHeight="1" ht="44.25">
      <c r="A35" s="1689"/>
      <c r="C35" s="102"/>
      <c r="D35" s="153" t="s">
        <v>1182</v>
      </c>
      <c r="E35" s="212" t="s">
        <v>1164</v>
      </c>
      <c r="F35" s="204"/>
      <c r="G35" s="263" t="s">
        <v>1183</v>
      </c>
      <c r="H35" s="204" t="s">
        <v>322</v>
      </c>
      <c r="I35" s="2175" t="s">
        <v>1184</v>
      </c>
      <c r="M35" s="89">
        <v>14</v>
      </c>
    </row>
    <row customHeight="1" ht="15.75">
      <c r="A36" s="1689" t="s">
        <v>91</v>
      </c>
      <c r="C36" s="102"/>
      <c r="D36" s="115"/>
      <c r="E36" s="210" t="s">
        <v>338</v>
      </c>
      <c r="F36" s="206"/>
      <c r="G36" s="206"/>
      <c r="H36" s="207"/>
      <c r="I36" s="2177"/>
      <c r="M36" s="89">
        <v>15</v>
      </c>
    </row>
    <row customHeight="1" ht="25.2">
      <c r="A37" s="1689"/>
      <c r="C37" s="102"/>
      <c r="D37" s="153" t="s">
        <v>918</v>
      </c>
      <c r="E37" s="24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7" s="2409"/>
      <c r="G37" s="2409"/>
      <c r="H37" s="2409"/>
      <c r="I37" s="262"/>
      <c r="M37" s="89">
        <v>24</v>
      </c>
    </row>
    <row customHeight="1" ht="66">
      <c r="A38" s="1689"/>
      <c r="C38" s="102"/>
      <c r="D38" s="153" t="s">
        <v>1185</v>
      </c>
      <c r="E38" s="212" t="s">
        <v>1165</v>
      </c>
      <c r="F38" s="204"/>
      <c r="G38" s="263" t="s">
        <v>1186</v>
      </c>
      <c r="H38" s="204" t="s">
        <v>322</v>
      </c>
      <c r="I38" s="2149" t="s">
        <v>1187</v>
      </c>
      <c r="M38" s="89">
        <v>14</v>
      </c>
    </row>
    <row customHeight="1" ht="15.75">
      <c r="A39" s="1689" t="s">
        <v>92</v>
      </c>
      <c r="C39" s="102"/>
      <c r="D39" s="115"/>
      <c r="E39" s="210" t="s">
        <v>338</v>
      </c>
      <c r="F39" s="206"/>
      <c r="G39" s="206"/>
      <c r="H39" s="207"/>
      <c r="I39" s="2149"/>
      <c r="M39" s="89">
        <v>15</v>
      </c>
    </row>
    <row customHeight="1" ht="27.299999999999997">
      <c r="A40" s="1689"/>
      <c r="C40" s="102"/>
      <c r="D40" s="153" t="s">
        <v>919</v>
      </c>
      <c r="E40" s="24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40" s="2409"/>
      <c r="G40" s="2409"/>
      <c r="H40" s="2409"/>
      <c r="I40" s="262"/>
      <c r="M40" s="89">
        <v>26</v>
      </c>
    </row>
    <row customHeight="1" ht="15">
      <c r="A41" s="1689"/>
      <c r="C41" s="102"/>
      <c r="D41" s="153" t="s">
        <v>920</v>
      </c>
      <c r="E41" s="212" t="s">
        <v>1166</v>
      </c>
      <c r="F41" s="204"/>
      <c r="G41" s="213" t="s">
        <v>1188</v>
      </c>
      <c r="H41" s="204" t="s">
        <v>322</v>
      </c>
      <c r="I41" s="2175" t="s">
        <v>1189</v>
      </c>
      <c r="L41" s="161" t="s">
        <v>1167</v>
      </c>
      <c r="M41" s="89">
        <v>14</v>
      </c>
    </row>
    <row customHeight="1" ht="15.75">
      <c r="A42" s="1689" t="s">
        <v>113</v>
      </c>
      <c r="C42" s="102"/>
      <c r="D42" s="115"/>
      <c r="E42" s="210" t="s">
        <v>338</v>
      </c>
      <c r="F42" s="206"/>
      <c r="G42" s="206"/>
      <c r="H42" s="207"/>
      <c r="I42" s="2177"/>
      <c r="M42" s="89">
        <v>15</v>
      </c>
    </row>
    <row s="1829" customFormat="1" customHeight="1" ht="3">
      <c r="A43" s="1689"/>
      <c r="K43" s="202"/>
      <c r="L43" s="202"/>
      <c r="M43" s="146">
        <v>3</v>
      </c>
    </row>
    <row customHeight="1" ht="26.25">
      <c r="D44" s="1687" t="s">
        <v>840</v>
      </c>
      <c r="E44" s="22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4" s="2291"/>
      <c r="G44" s="2291"/>
      <c r="H44" s="2291"/>
      <c r="I44" s="2291"/>
      <c r="M44" s="89">
        <v>25</v>
      </c>
    </row>
    <row customHeight="1" ht="22.5" hidden="1">
      <c r="A45" s="1368" t="s">
        <v>83</v>
      </c>
      <c r="B45" s="152">
        <v>0</v>
      </c>
      <c r="C45" s="103">
        <v>3</v>
      </c>
      <c r="D45" s="89">
        <v>6</v>
      </c>
      <c r="E45" s="89">
        <v>63</v>
      </c>
      <c r="F45" s="89">
        <v>0</v>
      </c>
      <c r="G45" s="89">
        <v>35</v>
      </c>
      <c r="H45" s="89">
        <v>35</v>
      </c>
      <c r="I45" s="89">
        <v>91</v>
      </c>
      <c r="J45" s="89">
        <v>68</v>
      </c>
      <c r="K45" s="161">
        <v>10</v>
      </c>
      <c r="L45" s="161">
        <v>10</v>
      </c>
      <c r="M45" s="89">
        <v>23</v>
      </c>
    </row>
  </sheetData>
  <sheetProtection sheet="1" formatColumns="0" formatRows="0" autoFilter="0" sort="1" insertRows="1" insertColumns="1" deleteRows="1" deleteColumns="1"/>
  <mergeCells count="17">
    <mergeCell ref="I29:I32"/>
    <mergeCell ref="E33:H33"/>
    <mergeCell ref="D14:H14"/>
    <mergeCell ref="D18:H18"/>
    <mergeCell ref="I18:I19"/>
    <mergeCell ref="E21:H21"/>
    <mergeCell ref="E25:H25"/>
    <mergeCell ref="I26:I27"/>
    <mergeCell ref="E28:H28"/>
    <mergeCell ref="D15:H15"/>
    <mergeCell ref="E44:I44"/>
    <mergeCell ref="E34:H34"/>
    <mergeCell ref="E37:H37"/>
    <mergeCell ref="E40:H40"/>
    <mergeCell ref="I35:I36"/>
    <mergeCell ref="I38:I39"/>
    <mergeCell ref="I41:I42"/>
  </mergeCells>
  <dataValidations count="4">
    <dataValidation type="textLength" operator="lessThanOrEqual" allowBlank="1" showInputMessage="1" showErrorMessage="1" errorTitle="Ошибка" error="Допускается ввод не более 900 символов!" sqref="I23:I24 I35 G38 I41 I26 E29:E31 G35 E38 I29:I31 E35 I38 G23 E26 I10 E23 G29:G31 E10 G8 E2 I2 I4 G4 E4 E6 I6 G6 E8 I8 E4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H23" r:id="rId2" tooltip="https://portal.eias.ru/Portal/DownloadPage.aspx?type=12&amp;guid=8432c17b-02ee-4c0a-82d6-39c831e653cb" xr:uid="{0C40DEFC-F7F9-C012-6A14-14D2A4A40329}"/>
    <hyperlink ref="H24" r:id="rId3" tooltip="https://portal.eias.ru/Portal/DownloadPage.aspx?type=12&amp;guid=c78c1777-1293-4200-8021-e948cf2df460" xr:uid="{65AB442D-E427-CB99-312A-806EAA474C02}"/>
    <hyperlink ref="H26" r:id="rId4" tooltip="https://portal.eias.ru/Portal/DownloadPage.aspx?type=12&amp;guid=c78c1777-1293-4200-8021-e948cf2df460" xr:uid="{04BF26A9-26B2-9FC4-89EA-ACAB3557CAE4}"/>
  </hyperlink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16644F-6807-5268-51F2-7B175F9F8EC9}" mc:Ignorable="x14ac xr xr2 xr3">
  <sheetPr>
    <tabColor theme="6" tint="0.4"/>
  </sheetPr>
  <dimension ref="A1:AH352"/>
  <sheetViews>
    <sheetView showGridLines="0" zoomScale="90" workbookViewId="0">
      <pane xSplit="7" ySplit="21" topLeftCell="H22" activePane="bottomRight" state="frozen"/>
      <selection pane="bottomLeft" activeCell="A22" sqref="A22"/>
      <selection pane="topRight" activeCell="H1" sqref="H1"/>
      <selection pane="bottomRight" activeCell="A329" sqref="A329:AH330"/>
    </sheetView>
  </sheetViews>
  <sheetFormatPr defaultColWidth="10.57421875" customHeight="1" defaultRowHeight="14.25"/>
  <cols>
    <col min="1" max="2" style="1785" width="25.140625" hidden="1" customWidth="1"/>
    <col min="3" max="3" style="1693" width="9.140625" hidden="1" customWidth="1"/>
    <col min="4" max="4" style="350" width="3.00390625" customWidth="1"/>
    <col min="5" max="5" style="1641" width="6.00390625" customWidth="1"/>
    <col min="6" max="6" style="1641" width="46.7109375" customWidth="1"/>
    <col min="7" max="7" style="1641" width="35.00390625" customWidth="1"/>
    <col min="8" max="8" style="1641" width="3.00390625" customWidth="1"/>
    <col min="9" max="10" style="1641" width="11.00390625" customWidth="1"/>
    <col min="11" max="12" style="1641" width="35.00390625" customWidth="1"/>
    <col min="13" max="13" style="1641" width="84.00390625" customWidth="1"/>
    <col min="14" max="14" style="1641" width="10.00390625" customWidth="1"/>
    <col min="15" max="16" style="1630" width="10.00390625" customWidth="1"/>
    <col min="17" max="33" style="1641" width="10.00390625" customWidth="1"/>
    <col min="34" max="34" style="1641" width="10.57421875" hidden="1"/>
  </cols>
  <sheetData>
    <row s="1641" customFormat="1" customHeight="1" ht="22.5" hidden="1">
      <c r="A1" s="1785"/>
      <c r="B1" s="1785"/>
      <c r="C1" s="375"/>
      <c r="D1" s="350"/>
      <c r="N1" s="1642">
        <f>_xlfn.IFERROR(MATCH("метод экономически обоснованных расходов (затрат)",OFFER_METHOD,0),0)</f>
        <v>0</v>
      </c>
      <c r="O1" s="1630"/>
      <c r="P1" s="1630"/>
      <c r="T1" s="837"/>
      <c r="AG1" s="261"/>
      <c r="AH1" s="1637" t="s">
        <v>14</v>
      </c>
    </row>
    <row s="1641" customFormat="1" customHeight="1" ht="18.75" hidden="1">
      <c r="A2" s="1786" t="s">
        <v>157</v>
      </c>
      <c r="B2" s="1786" t="s">
        <v>158</v>
      </c>
      <c r="C2" s="375"/>
      <c r="D2" s="350"/>
      <c r="E2" s="1037"/>
      <c r="F2" s="1037"/>
      <c r="G2" s="2433" t="str">
        <f>INDEX(PT_DIFFERENTIATION_NTAR,MATCH(B2,PT_DIFFERENTIATION_NTAR_ID,0))</f>
        <v/>
      </c>
      <c r="H2" s="1870"/>
      <c r="I2" s="1745"/>
      <c r="J2" s="1779"/>
      <c r="K2" s="1871"/>
      <c r="L2" s="1870" t="s">
        <v>322</v>
      </c>
      <c r="M2" s="1881"/>
      <c r="N2" s="340"/>
      <c r="O2" s="1630"/>
      <c r="P2" s="1630"/>
      <c r="AH2" s="1637">
        <v>0</v>
      </c>
    </row>
    <row s="1641" customFormat="1" customHeight="1" ht="18.75" hidden="1">
      <c r="A3" s="1786"/>
      <c r="B3" s="1786"/>
      <c r="C3" s="375" t="s">
        <v>1190</v>
      </c>
      <c r="D3" s="350"/>
      <c r="E3" s="1037"/>
      <c r="F3" s="1037"/>
      <c r="G3" s="2433"/>
      <c r="H3" s="1506"/>
      <c r="I3" s="657" t="s">
        <v>1191</v>
      </c>
      <c r="J3" s="577"/>
      <c r="K3" s="1506"/>
      <c r="L3" s="220"/>
      <c r="M3" s="1881"/>
      <c r="N3" s="340"/>
      <c r="O3" s="1630"/>
      <c r="P3" s="1630"/>
      <c r="AH3" s="1637">
        <v>0</v>
      </c>
    </row>
    <row s="1641" customFormat="1" customHeight="1" ht="14.25" hidden="1">
      <c r="A4" s="1785"/>
      <c r="B4" s="1785"/>
      <c r="C4" s="375"/>
      <c r="D4" s="350"/>
      <c r="N4" s="1642">
        <f>_xlfn.IFERROR(MATCH("метод экономически обоснованных расходов (затрат)",OFFER_METHOD,0),0)</f>
        <v>0</v>
      </c>
      <c r="O4" s="1630"/>
      <c r="P4" s="1630"/>
      <c r="T4" s="837"/>
      <c r="AG4" s="261"/>
      <c r="AH4" s="1637">
        <v>0</v>
      </c>
    </row>
    <row s="1641" customFormat="1" customHeight="1" ht="18.75" hidden="1">
      <c r="A5" s="1786" t="s">
        <v>157</v>
      </c>
      <c r="B5" s="1786" t="s">
        <v>158</v>
      </c>
      <c r="C5" s="375"/>
      <c r="D5" s="350"/>
      <c r="E5" s="1037"/>
      <c r="F5" s="1037"/>
      <c r="G5" s="2433" t="str">
        <f>INDEX(PT_DIFFERENTIATION_NTAR,MATCH(B5,PT_DIFFERENTIATION_NTAR_ID,0))</f>
        <v/>
      </c>
      <c r="H5" s="1870"/>
      <c r="I5" s="1745"/>
      <c r="J5" s="1779"/>
      <c r="K5" s="1784"/>
      <c r="L5" s="1870" t="s">
        <v>322</v>
      </c>
      <c r="M5" s="1881"/>
      <c r="N5" s="340"/>
      <c r="O5" s="1630"/>
      <c r="P5" s="1630"/>
      <c r="AH5" s="1637">
        <v>0</v>
      </c>
    </row>
    <row s="1641" customFormat="1" customHeight="1" ht="18.75" hidden="1">
      <c r="A6" s="1786"/>
      <c r="B6" s="1786"/>
      <c r="C6" s="375" t="s">
        <v>1192</v>
      </c>
      <c r="D6" s="350"/>
      <c r="E6" s="1037"/>
      <c r="F6" s="1037"/>
      <c r="G6" s="2433"/>
      <c r="H6" s="1506"/>
      <c r="I6" s="657" t="s">
        <v>1191</v>
      </c>
      <c r="J6" s="577"/>
      <c r="K6" s="1506"/>
      <c r="L6" s="220"/>
      <c r="M6" s="1881"/>
      <c r="N6" s="340"/>
      <c r="O6" s="1630"/>
      <c r="P6" s="1630"/>
      <c r="AH6" s="1637">
        <v>0</v>
      </c>
    </row>
    <row s="1641" customFormat="1" customHeight="1" ht="14.25" hidden="1">
      <c r="A7" s="1785"/>
      <c r="B7" s="1785"/>
      <c r="C7" s="375"/>
      <c r="D7" s="350"/>
      <c r="N7" s="1642">
        <f>_xlfn.IFERROR(MATCH("метод экономически обоснованных расходов (затрат)",OFFER_METHOD,0),0)</f>
        <v>0</v>
      </c>
      <c r="O7" s="1630"/>
      <c r="P7" s="1630"/>
      <c r="T7" s="837"/>
      <c r="AG7" s="261"/>
      <c r="AH7" s="1637">
        <v>0</v>
      </c>
    </row>
    <row s="1641" customFormat="1" customHeight="1" ht="56.25" hidden="1">
      <c r="A8" s="1786"/>
      <c r="B8" s="1786"/>
      <c r="C8" s="375"/>
      <c r="D8" s="350"/>
      <c r="E8" s="1037"/>
      <c r="F8" s="1037"/>
      <c r="G8" s="1037"/>
      <c r="H8" s="1777"/>
      <c r="I8" s="1745"/>
      <c r="J8" s="1779"/>
      <c r="K8" s="1871"/>
      <c r="L8" s="1777" t="s">
        <v>322</v>
      </c>
      <c r="M8" s="1881"/>
      <c r="N8" s="340"/>
      <c r="O8" s="1630"/>
      <c r="P8" s="1630"/>
      <c r="AH8" s="1637">
        <v>0</v>
      </c>
    </row>
    <row customHeight="1" ht="14.25" hidden="1">
      <c r="T9" s="403"/>
      <c r="AG9" s="261"/>
      <c r="AH9" s="380">
        <v>0</v>
      </c>
    </row>
    <row s="1641" customFormat="1" customHeight="1" ht="56.25" hidden="1">
      <c r="A10" s="1786"/>
      <c r="B10" s="1786"/>
      <c r="C10" s="375"/>
      <c r="D10" s="350"/>
      <c r="E10" s="1037"/>
      <c r="F10" s="1037"/>
      <c r="G10" s="1037"/>
      <c r="H10" s="1776"/>
      <c r="I10" s="1745"/>
      <c r="J10" s="1779"/>
      <c r="K10" s="1784"/>
      <c r="L10" s="1777" t="s">
        <v>322</v>
      </c>
      <c r="M10" s="1881"/>
      <c r="N10" s="340"/>
      <c r="O10" s="1630"/>
      <c r="P10" s="1630"/>
      <c r="AH10" s="1637">
        <v>0</v>
      </c>
    </row>
    <row customHeight="1" ht="14.25" hidden="1">
      <c r="AH11" s="380">
        <v>0</v>
      </c>
    </row>
    <row customHeight="1" ht="14.25" hidden="1">
      <c r="AH12" s="380">
        <v>0</v>
      </c>
    </row>
    <row customHeight="1" ht="6.3">
      <c r="D13" s="382"/>
      <c r="E13" s="369"/>
      <c r="F13" s="369"/>
      <c r="G13" s="369"/>
      <c r="H13" s="369"/>
      <c r="I13" s="369"/>
      <c r="J13" s="369"/>
      <c r="K13" s="369"/>
      <c r="L13" s="91"/>
      <c r="M13" s="91"/>
      <c r="AH13" s="380">
        <v>6</v>
      </c>
    </row>
    <row customHeight="1" ht="14.699999999999998">
      <c r="D14" s="382"/>
      <c r="E14" s="247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1"/>
      <c r="G14" s="2471"/>
      <c r="H14" s="2471"/>
      <c r="I14" s="2471"/>
      <c r="J14" s="2471"/>
      <c r="K14" s="2471"/>
      <c r="L14" s="2471"/>
      <c r="M14" s="226"/>
      <c r="AH14" s="380">
        <v>14</v>
      </c>
    </row>
    <row customHeight="1" ht="6.3">
      <c r="D15" s="382"/>
      <c r="E15" s="369"/>
      <c r="F15" s="395"/>
      <c r="G15" s="395"/>
      <c r="H15" s="395"/>
      <c r="I15" s="395"/>
      <c r="J15" s="395"/>
      <c r="K15" s="395"/>
      <c r="L15" s="328"/>
      <c r="M15" s="199"/>
      <c r="AH15" s="380">
        <v>6</v>
      </c>
    </row>
    <row customHeight="1" ht="24">
      <c r="D16" s="382"/>
      <c r="E16" s="369"/>
      <c r="F16" s="311" t="str">
        <f>"Дата подачи заявления об "&amp;IF(TITLE_DATE_PR_CHANGE="","утверждении","изменении")&amp;" тарифов"</f>
        <v>Дата подачи заявления об утверждении тарифов</v>
      </c>
      <c r="G16" s="2270" t="str">
        <f>IF(TITLE_DATE_PR_CHANGE="",IF(TITLE_DATE_PR="","",TITLE_DATE_PR),TITLE_DATE_PR_CHANGE)</f>
        <v>46003.502546296295</v>
      </c>
      <c r="H16" s="2270"/>
      <c r="I16" s="2270"/>
      <c r="J16" s="2270"/>
      <c r="K16" s="2270"/>
      <c r="L16" s="2270"/>
      <c r="M16" s="404"/>
      <c r="N16" s="332"/>
      <c r="AH16" s="380">
        <v>23</v>
      </c>
    </row>
    <row customHeight="1" ht="24">
      <c r="D17" s="382"/>
      <c r="E17" s="369"/>
      <c r="F17" s="311" t="str">
        <f>"Номер подачи заявления об "&amp;IF(TITLE_DATE_PR_CHANGE="","утверждении","изменении")&amp;" тарифов"</f>
        <v>Номер подачи заявления об утверждении тарифов</v>
      </c>
      <c r="G17" s="2257" t="str">
        <f>IF(TITLE_NUMBER_PR_CHANGE="",IF(TITLE_NUMBER_PR="","",TITLE_NUMBER_PR),TITLE_NUMBER_PR_CHANGE)</f>
        <v>№ 222</v>
      </c>
      <c r="H17" s="2257"/>
      <c r="I17" s="2257"/>
      <c r="J17" s="2257"/>
      <c r="K17" s="2257"/>
      <c r="L17" s="2257"/>
      <c r="M17" s="404"/>
      <c r="N17" s="332"/>
      <c r="AH17" s="380">
        <v>23</v>
      </c>
    </row>
    <row customHeight="1" ht="14.699999999999998">
      <c r="D18" s="382"/>
      <c r="E18" s="369"/>
      <c r="F18" s="395"/>
      <c r="G18" s="395"/>
      <c r="H18" s="395"/>
      <c r="I18" s="395"/>
      <c r="J18" s="395"/>
      <c r="K18" s="395"/>
      <c r="L18" s="758"/>
      <c r="M18" s="199"/>
      <c r="AH18" s="380">
        <v>14</v>
      </c>
    </row>
    <row customHeight="1" ht="22.049999999999997">
      <c r="D19" s="382"/>
      <c r="E19" s="2215" t="s">
        <v>316</v>
      </c>
      <c r="F19" s="2215"/>
      <c r="G19" s="2215"/>
      <c r="H19" s="2215"/>
      <c r="I19" s="2215"/>
      <c r="J19" s="2215"/>
      <c r="K19" s="2215"/>
      <c r="L19" s="2215"/>
      <c r="M19" s="2395" t="s">
        <v>317</v>
      </c>
      <c r="AH19" s="380">
        <v>21</v>
      </c>
    </row>
    <row customHeight="1" ht="22.049999999999997">
      <c r="D20" s="382"/>
      <c r="E20" s="2283" t="s">
        <v>89</v>
      </c>
      <c r="F20" s="2230" t="s">
        <v>124</v>
      </c>
      <c r="G20" s="2230" t="s">
        <v>125</v>
      </c>
      <c r="H20" s="2392" t="s">
        <v>1193</v>
      </c>
      <c r="I20" s="2393"/>
      <c r="J20" s="2439"/>
      <c r="K20" s="2230" t="s">
        <v>319</v>
      </c>
      <c r="L20" s="2230" t="s">
        <v>406</v>
      </c>
      <c r="M20" s="2395"/>
      <c r="AH20" s="380">
        <v>21</v>
      </c>
    </row>
    <row customHeight="1" ht="22.049999999999997">
      <c r="D21" s="382"/>
      <c r="E21" s="2285"/>
      <c r="F21" s="2231"/>
      <c r="G21" s="2231"/>
      <c r="H21" s="2224" t="s">
        <v>1194</v>
      </c>
      <c r="I21" s="2226"/>
      <c r="J21" s="114" t="s">
        <v>1195</v>
      </c>
      <c r="K21" s="2231"/>
      <c r="L21" s="2231"/>
      <c r="M21" s="2395"/>
      <c r="AH21" s="380">
        <v>21</v>
      </c>
    </row>
    <row customHeight="1" ht="12.75">
      <c r="D22" s="382"/>
      <c r="E22" s="287"/>
      <c r="F22" s="287"/>
      <c r="G22" s="287"/>
      <c r="H22" s="2473"/>
      <c r="I22" s="2473"/>
      <c r="J22" s="287"/>
      <c r="K22" s="287"/>
      <c r="L22" s="287"/>
      <c r="M22" s="287"/>
      <c r="AH22" s="380">
        <v>12</v>
      </c>
    </row>
    <row customHeight="1" ht="19.95">
      <c r="A23" s="1786"/>
      <c r="B23" s="1786"/>
      <c r="D23" s="382"/>
      <c r="E23" s="1872" t="s">
        <v>111</v>
      </c>
      <c r="F23" s="2474" t="str">
        <f>"Предлагаемый метод регулирования"&amp;IF(TEMPLATE_SPHERE="HEAT"," в сфере "&amp;TEMPLATE_SPHERE_RUS,"")</f>
        <v>Предлагаемый метод регулирования</v>
      </c>
      <c r="G23" s="2475"/>
      <c r="H23" s="2467"/>
      <c r="I23" s="2467"/>
      <c r="J23" s="2467"/>
      <c r="K23" s="2475" t="s">
        <v>322</v>
      </c>
      <c r="L23" s="2467"/>
      <c r="M23" s="1775"/>
      <c r="N23" s="340"/>
      <c r="AH23" s="380">
        <v>19</v>
      </c>
    </row>
    <row customHeight="1" ht="60.75" hidden="1">
      <c r="A24" s="1786" t="s">
        <v>157</v>
      </c>
      <c r="B24" s="1786" t="s">
        <v>158</v>
      </c>
      <c r="D24" s="2472"/>
      <c r="E24" s="2210"/>
      <c r="F24" s="24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3" t="str">
        <f>INDEX(PT_DIFFERENTIATION_NTAR,MATCH(B24,PT_DIFFERENTIATION_NTAR_ID,0))</f>
        <v/>
      </c>
      <c r="H24" s="1868"/>
      <c r="I24" s="1745"/>
      <c r="J24" s="1779"/>
      <c r="K24" s="1871"/>
      <c r="L24" s="1774" t="s">
        <v>322</v>
      </c>
      <c r="M24"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0"/>
      <c r="AH24" s="380">
        <v>0</v>
      </c>
    </row>
    <row s="1641" customFormat="1" customHeight="1" ht="18.75" hidden="1">
      <c r="A25" s="1786"/>
      <c r="B25" s="1786"/>
      <c r="C25" s="375" t="s">
        <v>1190</v>
      </c>
      <c r="D25" s="2472"/>
      <c r="E25" s="2210"/>
      <c r="F25" s="2476"/>
      <c r="G25" s="2433"/>
      <c r="H25" s="1506"/>
      <c r="I25" s="657" t="s">
        <v>1191</v>
      </c>
      <c r="J25" s="577"/>
      <c r="K25" s="1506"/>
      <c r="L25" s="220"/>
      <c r="M25" s="2176"/>
      <c r="N25" s="340"/>
      <c r="O25" s="1630"/>
      <c r="P25" s="1630"/>
      <c r="AH25" s="1637">
        <v>0</v>
      </c>
    </row>
    <row customHeight="1" ht="0.75" hidden="1">
      <c r="A26" s="1786"/>
      <c r="B26" s="1786"/>
      <c r="C26" s="375" t="s">
        <v>1196</v>
      </c>
      <c r="D26" s="2472"/>
      <c r="E26" s="2210"/>
      <c r="F26" s="2389"/>
      <c r="G26" s="406"/>
      <c r="H26" s="1506"/>
      <c r="I26" s="401"/>
      <c r="J26" s="355"/>
      <c r="K26" s="1506"/>
      <c r="L26" s="207"/>
      <c r="M26" s="2176"/>
      <c r="N26" s="340"/>
      <c r="AH26" s="380">
        <v>0</v>
      </c>
    </row>
    <row s="1641" customFormat="1" customHeight="1" ht="45" hidden="1">
      <c r="A27" s="1786" t="s">
        <v>162</v>
      </c>
      <c r="B27" s="1786" t="s">
        <v>163</v>
      </c>
      <c r="C27" s="375"/>
      <c r="D27" s="2468"/>
      <c r="E27" s="2469"/>
      <c r="F27" s="2470" t="str">
        <f>INDEX(PT_DIFFERENTIATION_VTAR,MATCH(A27,PT_DIFFERENTIATION_VTAR_ID,0))</f>
        <v/>
      </c>
      <c r="G27" s="2433" t="str">
        <f>INDEX(PT_DIFFERENTIATION_NTAR,MATCH(B27,PT_DIFFERENTIATION_NTAR_ID,0))</f>
        <v/>
      </c>
      <c r="H27" s="1868"/>
      <c r="I27" s="1745"/>
      <c r="J27" s="1779"/>
      <c r="K27" s="1871"/>
      <c r="L27" s="1868" t="s">
        <v>322</v>
      </c>
      <c r="M27" s="2176"/>
      <c r="N27" s="340"/>
      <c r="O27" s="1630"/>
      <c r="P27" s="1630"/>
      <c r="AH27" s="1637">
        <v>0</v>
      </c>
    </row>
    <row s="1641" customFormat="1" customHeight="1" ht="18.75" hidden="1">
      <c r="A28" s="1786"/>
      <c r="B28" s="1786"/>
      <c r="C28" s="375" t="s">
        <v>1190</v>
      </c>
      <c r="D28" s="2468"/>
      <c r="E28" s="2469"/>
      <c r="F28" s="2470"/>
      <c r="G28" s="2433"/>
      <c r="H28" s="1506"/>
      <c r="I28" s="657" t="s">
        <v>1191</v>
      </c>
      <c r="J28" s="577"/>
      <c r="K28" s="1506"/>
      <c r="L28" s="220"/>
      <c r="M28" s="2176"/>
      <c r="N28" s="340"/>
      <c r="O28" s="1630"/>
      <c r="P28" s="1630"/>
      <c r="AH28" s="1637">
        <v>0</v>
      </c>
    </row>
    <row s="1641" customFormat="1" customHeight="1" ht="0.75" hidden="1">
      <c r="A29" s="1786"/>
      <c r="B29" s="1786"/>
      <c r="C29" s="375" t="s">
        <v>1196</v>
      </c>
      <c r="D29" s="2468"/>
      <c r="E29" s="2210"/>
      <c r="F29" s="2389"/>
      <c r="G29" s="406"/>
      <c r="H29" s="1506"/>
      <c r="I29" s="657"/>
      <c r="J29" s="577"/>
      <c r="K29" s="1506"/>
      <c r="L29" s="220"/>
      <c r="M29" s="2176"/>
      <c r="N29" s="340"/>
      <c r="O29" s="1630"/>
      <c r="P29" s="1630"/>
      <c r="AH29" s="1637">
        <v>0</v>
      </c>
    </row>
    <row s="1641" customFormat="1" customHeight="1" ht="45" hidden="1">
      <c r="A30" s="1786" t="s">
        <v>169</v>
      </c>
      <c r="B30" s="1786" t="s">
        <v>170</v>
      </c>
      <c r="C30" s="375"/>
      <c r="D30" s="2468"/>
      <c r="E30" s="2210"/>
      <c r="F30" s="23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3" t="str">
        <f>INDEX(PT_DIFFERENTIATION_NTAR,MATCH(B30,PT_DIFFERENTIATION_NTAR_ID,0))</f>
        <v/>
      </c>
      <c r="H30" s="1868"/>
      <c r="I30" s="1745"/>
      <c r="J30" s="1779"/>
      <c r="K30" s="1871"/>
      <c r="L30" s="1868" t="s">
        <v>322</v>
      </c>
      <c r="M30" s="2176"/>
      <c r="N30" s="340"/>
      <c r="O30" s="1630"/>
      <c r="P30" s="1630"/>
      <c r="AH30" s="1637">
        <v>0</v>
      </c>
    </row>
    <row s="1641" customFormat="1" customHeight="1" ht="18.75" hidden="1">
      <c r="A31" s="1786"/>
      <c r="B31" s="1786"/>
      <c r="C31" s="375" t="s">
        <v>1190</v>
      </c>
      <c r="D31" s="2468"/>
      <c r="E31" s="2210"/>
      <c r="F31" s="2389"/>
      <c r="G31" s="2433"/>
      <c r="H31" s="1506"/>
      <c r="I31" s="657" t="s">
        <v>1191</v>
      </c>
      <c r="J31" s="577"/>
      <c r="K31" s="1506"/>
      <c r="L31" s="220"/>
      <c r="M31" s="2176"/>
      <c r="N31" s="340"/>
      <c r="O31" s="1630"/>
      <c r="P31" s="1630"/>
      <c r="AH31" s="1637">
        <v>0</v>
      </c>
    </row>
    <row s="1641" customFormat="1" customHeight="1" ht="0.75" hidden="1">
      <c r="A32" s="1786"/>
      <c r="B32" s="1786"/>
      <c r="C32" s="375" t="s">
        <v>1196</v>
      </c>
      <c r="D32" s="2468"/>
      <c r="E32" s="2210"/>
      <c r="F32" s="2389"/>
      <c r="G32" s="406"/>
      <c r="H32" s="1506"/>
      <c r="I32" s="657"/>
      <c r="J32" s="577"/>
      <c r="K32" s="1506"/>
      <c r="L32" s="220"/>
      <c r="M32" s="2176"/>
      <c r="N32" s="340"/>
      <c r="O32" s="1630"/>
      <c r="P32" s="1630"/>
      <c r="AH32" s="1637">
        <v>0</v>
      </c>
    </row>
    <row s="1641" customFormat="1" customHeight="1" ht="45" hidden="1">
      <c r="A33" s="1786" t="s">
        <v>175</v>
      </c>
      <c r="B33" s="1786" t="s">
        <v>176</v>
      </c>
      <c r="C33" s="375"/>
      <c r="D33" s="2468"/>
      <c r="E33" s="2210"/>
      <c r="F33" s="23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3" t="str">
        <f>INDEX(PT_DIFFERENTIATION_NTAR,MATCH(B33,PT_DIFFERENTIATION_NTAR_ID,0))</f>
        <v/>
      </c>
      <c r="H33" s="1868"/>
      <c r="I33" s="1745"/>
      <c r="J33" s="1779"/>
      <c r="K33" s="1871"/>
      <c r="L33" s="1868" t="s">
        <v>322</v>
      </c>
      <c r="M33" s="2176"/>
      <c r="N33" s="340"/>
      <c r="O33" s="1630"/>
      <c r="P33" s="1630"/>
      <c r="AH33" s="1637">
        <v>0</v>
      </c>
    </row>
    <row s="1641" customFormat="1" customHeight="1" ht="18.75" hidden="1">
      <c r="A34" s="1786"/>
      <c r="B34" s="1786"/>
      <c r="C34" s="375" t="s">
        <v>1190</v>
      </c>
      <c r="D34" s="2468"/>
      <c r="E34" s="2210"/>
      <c r="F34" s="2389"/>
      <c r="G34" s="2433"/>
      <c r="H34" s="1506"/>
      <c r="I34" s="657" t="s">
        <v>1191</v>
      </c>
      <c r="J34" s="577"/>
      <c r="K34" s="1506"/>
      <c r="L34" s="220"/>
      <c r="M34" s="2176"/>
      <c r="N34" s="340"/>
      <c r="O34" s="1630"/>
      <c r="P34" s="1630"/>
      <c r="AH34" s="1637">
        <v>0</v>
      </c>
    </row>
    <row s="1641" customFormat="1" customHeight="1" ht="0.75" hidden="1">
      <c r="A35" s="1786"/>
      <c r="B35" s="1786"/>
      <c r="C35" s="375" t="s">
        <v>1196</v>
      </c>
      <c r="D35" s="2468"/>
      <c r="E35" s="2210"/>
      <c r="F35" s="2389"/>
      <c r="G35" s="406"/>
      <c r="H35" s="1506"/>
      <c r="I35" s="657"/>
      <c r="J35" s="577"/>
      <c r="K35" s="1506"/>
      <c r="L35" s="220"/>
      <c r="M35" s="2176"/>
      <c r="N35" s="340"/>
      <c r="O35" s="1630"/>
      <c r="P35" s="1630"/>
      <c r="AH35" s="1637">
        <v>0</v>
      </c>
    </row>
    <row s="1641" customFormat="1" customHeight="1" ht="18.75" hidden="1">
      <c r="A36" s="1786" t="s">
        <v>181</v>
      </c>
      <c r="B36" s="1786" t="s">
        <v>182</v>
      </c>
      <c r="C36" s="375"/>
      <c r="D36" s="2468"/>
      <c r="E36" s="2210"/>
      <c r="F36" s="2389" t="str">
        <f>INDEX(PT_DIFFERENTIATION_VTAR,MATCH(A36,PT_DIFFERENTIATION_VTAR_ID,0))</f>
        <v>Тарифы на услуги по передаче тепловой энергии</v>
      </c>
      <c r="G36" s="2433" t="str">
        <f>INDEX(PT_DIFFERENTIATION_NTAR,MATCH(B36,PT_DIFFERENTIATION_NTAR_ID,0))</f>
        <v/>
      </c>
      <c r="H36" s="1868"/>
      <c r="I36" s="1745"/>
      <c r="J36" s="1779"/>
      <c r="K36" s="1871"/>
      <c r="L36" s="1868" t="s">
        <v>322</v>
      </c>
      <c r="M36" s="2176"/>
      <c r="N36" s="340"/>
      <c r="O36" s="1630"/>
      <c r="P36" s="1630"/>
      <c r="AH36" s="1637">
        <v>0</v>
      </c>
    </row>
    <row s="1641" customFormat="1" customHeight="1" ht="18.75" hidden="1">
      <c r="A37" s="1786"/>
      <c r="B37" s="1786"/>
      <c r="C37" s="375" t="s">
        <v>1190</v>
      </c>
      <c r="D37" s="2468"/>
      <c r="E37" s="2210"/>
      <c r="F37" s="2389"/>
      <c r="G37" s="2433"/>
      <c r="H37" s="1506"/>
      <c r="I37" s="657" t="s">
        <v>1191</v>
      </c>
      <c r="J37" s="577"/>
      <c r="K37" s="1506"/>
      <c r="L37" s="220"/>
      <c r="M37" s="2176"/>
      <c r="N37" s="340"/>
      <c r="O37" s="1630"/>
      <c r="P37" s="1630"/>
      <c r="AH37" s="1637">
        <v>0</v>
      </c>
    </row>
    <row s="1641" customFormat="1" customHeight="1" ht="0.75" hidden="1">
      <c r="A38" s="1786"/>
      <c r="B38" s="1786"/>
      <c r="C38" s="375" t="s">
        <v>1196</v>
      </c>
      <c r="D38" s="2468"/>
      <c r="E38" s="2210"/>
      <c r="F38" s="2389"/>
      <c r="G38" s="406"/>
      <c r="H38" s="1506"/>
      <c r="I38" s="657"/>
      <c r="J38" s="577"/>
      <c r="K38" s="1506"/>
      <c r="L38" s="220"/>
      <c r="M38" s="2176"/>
      <c r="N38" s="340"/>
      <c r="O38" s="1630"/>
      <c r="P38" s="1630"/>
      <c r="AH38" s="1637">
        <v>0</v>
      </c>
    </row>
    <row s="1641" customFormat="1" customHeight="1" ht="18.75" hidden="1">
      <c r="A39" s="1786" t="s">
        <v>187</v>
      </c>
      <c r="B39" s="1786" t="s">
        <v>188</v>
      </c>
      <c r="C39" s="375"/>
      <c r="D39" s="2468"/>
      <c r="E39" s="2210"/>
      <c r="F39" s="2389" t="str">
        <f>INDEX(PT_DIFFERENTIATION_VTAR,MATCH(A39,PT_DIFFERENTIATION_VTAR_ID,0))</f>
        <v>Тарифы на услуги по передаче теплоносителя</v>
      </c>
      <c r="G39" s="2433" t="str">
        <f>INDEX(PT_DIFFERENTIATION_NTAR,MATCH(B39,PT_DIFFERENTIATION_NTAR_ID,0))</f>
        <v/>
      </c>
      <c r="H39" s="1868"/>
      <c r="I39" s="1745"/>
      <c r="J39" s="1779"/>
      <c r="K39" s="1871"/>
      <c r="L39" s="1868" t="s">
        <v>322</v>
      </c>
      <c r="M39" s="2176"/>
      <c r="N39" s="340"/>
      <c r="O39" s="1630"/>
      <c r="P39" s="1630"/>
      <c r="AH39" s="1637">
        <v>0</v>
      </c>
    </row>
    <row s="1641" customFormat="1" customHeight="1" ht="18.75" hidden="1">
      <c r="A40" s="1786"/>
      <c r="B40" s="1786"/>
      <c r="C40" s="375" t="s">
        <v>1190</v>
      </c>
      <c r="D40" s="2468"/>
      <c r="E40" s="2210"/>
      <c r="F40" s="2389"/>
      <c r="G40" s="2433"/>
      <c r="H40" s="1506"/>
      <c r="I40" s="657" t="s">
        <v>1191</v>
      </c>
      <c r="J40" s="577"/>
      <c r="K40" s="1506"/>
      <c r="L40" s="220"/>
      <c r="M40" s="2176"/>
      <c r="N40" s="340"/>
      <c r="O40" s="1630"/>
      <c r="P40" s="1630"/>
      <c r="AH40" s="1637">
        <v>0</v>
      </c>
    </row>
    <row s="1641" customFormat="1" customHeight="1" ht="0.75" hidden="1">
      <c r="A41" s="1786"/>
      <c r="B41" s="1786"/>
      <c r="C41" s="375" t="s">
        <v>1196</v>
      </c>
      <c r="D41" s="2468"/>
      <c r="E41" s="2210"/>
      <c r="F41" s="2389"/>
      <c r="G41" s="406"/>
      <c r="H41" s="1506"/>
      <c r="I41" s="657"/>
      <c r="J41" s="577"/>
      <c r="K41" s="1506"/>
      <c r="L41" s="220"/>
      <c r="M41" s="2176"/>
      <c r="N41" s="340"/>
      <c r="O41" s="1630"/>
      <c r="P41" s="1630"/>
      <c r="AH41" s="1637">
        <v>0</v>
      </c>
    </row>
    <row s="1641" customFormat="1" customHeight="1" ht="18.75" hidden="1">
      <c r="A42" s="1786" t="s">
        <v>193</v>
      </c>
      <c r="B42" s="1786" t="s">
        <v>194</v>
      </c>
      <c r="C42" s="375"/>
      <c r="D42" s="2468"/>
      <c r="E42" s="2210"/>
      <c r="F42" s="238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3" t="str">
        <f>INDEX(PT_DIFFERENTIATION_NTAR,MATCH(B42,PT_DIFFERENTIATION_NTAR_ID,0))</f>
        <v/>
      </c>
      <c r="H42" s="1868"/>
      <c r="I42" s="1745"/>
      <c r="J42" s="1779"/>
      <c r="K42" s="1871"/>
      <c r="L42" s="1868" t="s">
        <v>322</v>
      </c>
      <c r="M42" s="2176"/>
      <c r="N42" s="340"/>
      <c r="O42" s="1630"/>
      <c r="P42" s="1630"/>
      <c r="AH42" s="1637">
        <v>0</v>
      </c>
    </row>
    <row s="1641" customFormat="1" customHeight="1" ht="18.75" hidden="1">
      <c r="A43" s="1786"/>
      <c r="B43" s="1786"/>
      <c r="C43" s="375" t="s">
        <v>1190</v>
      </c>
      <c r="D43" s="2468"/>
      <c r="E43" s="2210"/>
      <c r="F43" s="2389"/>
      <c r="G43" s="2433"/>
      <c r="H43" s="1506"/>
      <c r="I43" s="657" t="s">
        <v>1191</v>
      </c>
      <c r="J43" s="577"/>
      <c r="K43" s="1506"/>
      <c r="L43" s="220"/>
      <c r="M43" s="2176"/>
      <c r="N43" s="340"/>
      <c r="O43" s="1630"/>
      <c r="P43" s="1630"/>
      <c r="AH43" s="1637">
        <v>0</v>
      </c>
    </row>
    <row s="1641" customFormat="1" customHeight="1" ht="0.75" hidden="1">
      <c r="A44" s="1786"/>
      <c r="B44" s="1786"/>
      <c r="C44" s="375" t="s">
        <v>1196</v>
      </c>
      <c r="D44" s="2468"/>
      <c r="E44" s="2210"/>
      <c r="F44" s="2389"/>
      <c r="G44" s="406"/>
      <c r="H44" s="1506"/>
      <c r="I44" s="657"/>
      <c r="J44" s="577"/>
      <c r="K44" s="1506"/>
      <c r="L44" s="220"/>
      <c r="M44" s="2176"/>
      <c r="N44" s="340"/>
      <c r="O44" s="1630"/>
      <c r="P44" s="1630"/>
      <c r="AH44" s="1637">
        <v>0</v>
      </c>
    </row>
    <row s="1641" customFormat="1" customHeight="1" ht="18.75" hidden="1">
      <c r="A45" s="1786" t="s">
        <v>199</v>
      </c>
      <c r="B45" s="1786" t="s">
        <v>200</v>
      </c>
      <c r="C45" s="375"/>
      <c r="D45" s="2468"/>
      <c r="E45" s="2210"/>
      <c r="F45" s="2389" t="str">
        <f>INDEX(PT_DIFFERENTIATION_VTAR,MATCH(A45,PT_DIFFERENTIATION_VTAR_ID,0))</f>
        <v>Плата за подключение (технологическое присоединение) к системе теплоснабжения</v>
      </c>
      <c r="G45" s="2433" t="str">
        <f>INDEX(PT_DIFFERENTIATION_NTAR,MATCH(B45,PT_DIFFERENTIATION_NTAR_ID,0))</f>
        <v/>
      </c>
      <c r="H45" s="1868"/>
      <c r="I45" s="1745"/>
      <c r="J45" s="1779"/>
      <c r="K45" s="1871"/>
      <c r="L45" s="1868" t="s">
        <v>322</v>
      </c>
      <c r="M45" s="2176"/>
      <c r="N45" s="340"/>
      <c r="O45" s="1630"/>
      <c r="P45" s="1630"/>
      <c r="AH45" s="1637">
        <v>0</v>
      </c>
    </row>
    <row s="1641" customFormat="1" customHeight="1" ht="18.75" hidden="1">
      <c r="A46" s="1786"/>
      <c r="B46" s="1786"/>
      <c r="C46" s="375" t="s">
        <v>1190</v>
      </c>
      <c r="D46" s="2468"/>
      <c r="E46" s="2210"/>
      <c r="F46" s="2389"/>
      <c r="G46" s="2433"/>
      <c r="H46" s="1506"/>
      <c r="I46" s="657" t="s">
        <v>1191</v>
      </c>
      <c r="J46" s="577"/>
      <c r="K46" s="1506"/>
      <c r="L46" s="220"/>
      <c r="M46" s="2176"/>
      <c r="N46" s="340"/>
      <c r="O46" s="1630"/>
      <c r="P46" s="1630"/>
      <c r="AH46" s="1637">
        <v>0</v>
      </c>
    </row>
    <row s="1641" customFormat="1" customHeight="1" ht="0.75" hidden="1">
      <c r="A47" s="1786"/>
      <c r="B47" s="1786"/>
      <c r="C47" s="375" t="s">
        <v>1196</v>
      </c>
      <c r="D47" s="2468"/>
      <c r="E47" s="2210"/>
      <c r="F47" s="2389"/>
      <c r="G47" s="406"/>
      <c r="H47" s="1506"/>
      <c r="I47" s="657"/>
      <c r="J47" s="577"/>
      <c r="K47" s="1506"/>
      <c r="L47" s="220"/>
      <c r="M47" s="2176"/>
      <c r="N47" s="340"/>
      <c r="O47" s="1630"/>
      <c r="P47" s="1630"/>
      <c r="AH47" s="1637">
        <v>0</v>
      </c>
    </row>
    <row s="1641" customFormat="1" customHeight="1" ht="18.75" hidden="1">
      <c r="A48" s="1786" t="s">
        <v>205</v>
      </c>
      <c r="B48" s="1786" t="s">
        <v>206</v>
      </c>
      <c r="C48" s="375"/>
      <c r="D48" s="2468"/>
      <c r="E48" s="2210"/>
      <c r="F48" s="2389" t="str">
        <f>INDEX(PT_DIFFERENTIATION_VTAR,MATCH(A48,PT_DIFFERENTIATION_VTAR_ID,0))</f>
        <v>Плата за подключение (технологическое присоединение) к системе теплоснабжения (индивидуальная)</v>
      </c>
      <c r="G48" s="2433" t="str">
        <f>INDEX(PT_DIFFERENTIATION_NTAR,MATCH(B48,PT_DIFFERENTIATION_NTAR_ID,0))</f>
        <v/>
      </c>
      <c r="H48" s="1995"/>
      <c r="I48" s="1745"/>
      <c r="J48" s="1779"/>
      <c r="K48" s="1871"/>
      <c r="L48" s="1995" t="s">
        <v>322</v>
      </c>
      <c r="M48" s="2176"/>
      <c r="N48" s="340"/>
      <c r="O48" s="1630"/>
      <c r="P48" s="1630"/>
      <c r="AH48" s="1637">
        <v>0</v>
      </c>
    </row>
    <row s="1641" customFormat="1" customHeight="1" ht="18.75" hidden="1">
      <c r="A49" s="1786"/>
      <c r="B49" s="1786"/>
      <c r="C49" s="375" t="s">
        <v>1190</v>
      </c>
      <c r="D49" s="2468"/>
      <c r="E49" s="2210"/>
      <c r="F49" s="2389"/>
      <c r="G49" s="2433"/>
      <c r="H49" s="1506"/>
      <c r="I49" s="657" t="s">
        <v>1191</v>
      </c>
      <c r="J49" s="577"/>
      <c r="K49" s="1506"/>
      <c r="L49" s="220"/>
      <c r="M49" s="2176"/>
      <c r="N49" s="340"/>
      <c r="O49" s="1630"/>
      <c r="P49" s="1630"/>
      <c r="AH49" s="1637">
        <v>0</v>
      </c>
    </row>
    <row s="1641" customFormat="1" customHeight="1" ht="0.75" hidden="1">
      <c r="A50" s="1786"/>
      <c r="B50" s="1786"/>
      <c r="C50" s="375" t="s">
        <v>1196</v>
      </c>
      <c r="D50" s="2468"/>
      <c r="E50" s="2210"/>
      <c r="F50" s="2389"/>
      <c r="G50" s="406"/>
      <c r="H50" s="1506"/>
      <c r="I50" s="657"/>
      <c r="J50" s="577"/>
      <c r="K50" s="1506"/>
      <c r="L50" s="220"/>
      <c r="M50" s="2176"/>
      <c r="N50" s="340"/>
      <c r="O50" s="1630"/>
      <c r="P50" s="1630"/>
      <c r="AH50" s="1637">
        <v>0</v>
      </c>
    </row>
    <row s="1641" customFormat="1" customHeight="1" ht="18.75" hidden="1">
      <c r="A51" s="1786" t="s">
        <v>225</v>
      </c>
      <c r="B51" s="1786" t="s">
        <v>226</v>
      </c>
      <c r="C51" s="375"/>
      <c r="D51" s="2468"/>
      <c r="E51" s="2210"/>
      <c r="F51" s="2389" t="str">
        <f>INDEX(PT_DIFFERENTIATION_VTAR,MATCH(A51,PT_DIFFERENTIATION_VTAR_ID,0))</f>
        <v>Тариф на питьевую воду (питьевое водоснабжение)</v>
      </c>
      <c r="G51" s="2433" t="str">
        <f>INDEX(PT_DIFFERENTIATION_NTAR,MATCH(B51,PT_DIFFERENTIATION_NTAR_ID,0))</f>
        <v/>
      </c>
      <c r="H51" s="1868"/>
      <c r="I51" s="1745"/>
      <c r="J51" s="1779"/>
      <c r="K51" s="1871"/>
      <c r="L51" s="1868" t="s">
        <v>322</v>
      </c>
      <c r="M51" s="2176"/>
      <c r="N51" s="340"/>
      <c r="O51" s="1630"/>
      <c r="P51" s="1630"/>
      <c r="AH51" s="1637">
        <v>0</v>
      </c>
    </row>
    <row s="1641" customFormat="1" customHeight="1" ht="18.75" hidden="1">
      <c r="A52" s="1786"/>
      <c r="B52" s="1786"/>
      <c r="C52" s="375" t="s">
        <v>1190</v>
      </c>
      <c r="D52" s="2468"/>
      <c r="E52" s="2210"/>
      <c r="F52" s="2389"/>
      <c r="G52" s="2433"/>
      <c r="H52" s="1506"/>
      <c r="I52" s="657" t="s">
        <v>1191</v>
      </c>
      <c r="J52" s="577"/>
      <c r="K52" s="1506"/>
      <c r="L52" s="220"/>
      <c r="M52" s="2176"/>
      <c r="N52" s="340"/>
      <c r="O52" s="1630"/>
      <c r="P52" s="1630"/>
      <c r="AH52" s="1637">
        <v>0</v>
      </c>
    </row>
    <row s="1641" customFormat="1" customHeight="1" ht="0.75" hidden="1">
      <c r="A53" s="1786"/>
      <c r="B53" s="1786"/>
      <c r="C53" s="375" t="s">
        <v>1196</v>
      </c>
      <c r="D53" s="2468"/>
      <c r="E53" s="2210"/>
      <c r="F53" s="2389"/>
      <c r="G53" s="406"/>
      <c r="H53" s="1506"/>
      <c r="I53" s="657"/>
      <c r="J53" s="577"/>
      <c r="K53" s="1506"/>
      <c r="L53" s="220"/>
      <c r="M53" s="2176"/>
      <c r="N53" s="340"/>
      <c r="O53" s="1630"/>
      <c r="P53" s="1630"/>
      <c r="AH53" s="1637">
        <v>0</v>
      </c>
    </row>
    <row s="1641" customFormat="1" customHeight="1" ht="18.75" hidden="1">
      <c r="A54" s="1786" t="s">
        <v>230</v>
      </c>
      <c r="B54" s="1786" t="s">
        <v>231</v>
      </c>
      <c r="C54" s="375"/>
      <c r="D54" s="2468"/>
      <c r="E54" s="2210"/>
      <c r="F54" s="2389" t="str">
        <f>INDEX(PT_DIFFERENTIATION_VTAR,MATCH(A54,PT_DIFFERENTIATION_VTAR_ID,0))</f>
        <v>Тариф на техническую воду</v>
      </c>
      <c r="G54" s="2433" t="str">
        <f>INDEX(PT_DIFFERENTIATION_NTAR,MATCH(B54,PT_DIFFERENTIATION_NTAR_ID,0))</f>
        <v/>
      </c>
      <c r="H54" s="1868"/>
      <c r="I54" s="1745"/>
      <c r="J54" s="1779"/>
      <c r="K54" s="1871"/>
      <c r="L54" s="1868" t="s">
        <v>322</v>
      </c>
      <c r="M54" s="2176"/>
      <c r="N54" s="340"/>
      <c r="O54" s="1630"/>
      <c r="P54" s="1630"/>
      <c r="AH54" s="1637">
        <v>0</v>
      </c>
    </row>
    <row s="1641" customFormat="1" customHeight="1" ht="18.75" hidden="1">
      <c r="A55" s="1786"/>
      <c r="B55" s="1786"/>
      <c r="C55" s="375" t="s">
        <v>1190</v>
      </c>
      <c r="D55" s="2468"/>
      <c r="E55" s="2210"/>
      <c r="F55" s="2389"/>
      <c r="G55" s="2433"/>
      <c r="H55" s="1506"/>
      <c r="I55" s="657" t="s">
        <v>1191</v>
      </c>
      <c r="J55" s="577"/>
      <c r="K55" s="1506"/>
      <c r="L55" s="220"/>
      <c r="M55" s="2176"/>
      <c r="N55" s="340"/>
      <c r="O55" s="1630"/>
      <c r="P55" s="1630"/>
      <c r="AH55" s="1637">
        <v>0</v>
      </c>
    </row>
    <row s="1641" customFormat="1" customHeight="1" ht="0.75" hidden="1">
      <c r="A56" s="1786"/>
      <c r="B56" s="1786"/>
      <c r="C56" s="375" t="s">
        <v>1196</v>
      </c>
      <c r="D56" s="2468"/>
      <c r="E56" s="2210"/>
      <c r="F56" s="2389"/>
      <c r="G56" s="406"/>
      <c r="H56" s="1506"/>
      <c r="I56" s="657"/>
      <c r="J56" s="577"/>
      <c r="K56" s="1506"/>
      <c r="L56" s="220"/>
      <c r="M56" s="2176"/>
      <c r="N56" s="340"/>
      <c r="O56" s="1630"/>
      <c r="P56" s="1630"/>
      <c r="AH56" s="1637">
        <v>0</v>
      </c>
    </row>
    <row s="1641" customFormat="1" customHeight="1" ht="18.75" hidden="1">
      <c r="A57" s="1786" t="s">
        <v>235</v>
      </c>
      <c r="B57" s="1786" t="s">
        <v>236</v>
      </c>
      <c r="C57" s="375"/>
      <c r="D57" s="2468"/>
      <c r="E57" s="2210"/>
      <c r="F57" s="2389" t="str">
        <f>INDEX(PT_DIFFERENTIATION_VTAR,MATCH(A57,PT_DIFFERENTIATION_VTAR_ID,0))</f>
        <v>Тариф на транспортировку воды</v>
      </c>
      <c r="G57" s="2433" t="str">
        <f>INDEX(PT_DIFFERENTIATION_NTAR,MATCH(B57,PT_DIFFERENTIATION_NTAR_ID,0))</f>
        <v/>
      </c>
      <c r="H57" s="1868"/>
      <c r="I57" s="1745"/>
      <c r="J57" s="1779"/>
      <c r="K57" s="1871"/>
      <c r="L57" s="1868" t="s">
        <v>322</v>
      </c>
      <c r="M57" s="2176"/>
      <c r="N57" s="340"/>
      <c r="O57" s="1630"/>
      <c r="P57" s="1630"/>
      <c r="AH57" s="1637">
        <v>0</v>
      </c>
    </row>
    <row s="1641" customFormat="1" customHeight="1" ht="18.75" hidden="1">
      <c r="A58" s="1786"/>
      <c r="B58" s="1786"/>
      <c r="C58" s="375" t="s">
        <v>1190</v>
      </c>
      <c r="D58" s="2468"/>
      <c r="E58" s="2210"/>
      <c r="F58" s="2389"/>
      <c r="G58" s="2433"/>
      <c r="H58" s="1506"/>
      <c r="I58" s="657" t="s">
        <v>1191</v>
      </c>
      <c r="J58" s="577"/>
      <c r="K58" s="1506"/>
      <c r="L58" s="220"/>
      <c r="M58" s="2176"/>
      <c r="N58" s="340"/>
      <c r="O58" s="1630"/>
      <c r="P58" s="1630"/>
      <c r="AH58" s="1637">
        <v>0</v>
      </c>
    </row>
    <row s="1641" customFormat="1" customHeight="1" ht="0.75" hidden="1">
      <c r="A59" s="1786"/>
      <c r="B59" s="1786"/>
      <c r="C59" s="375" t="s">
        <v>1196</v>
      </c>
      <c r="D59" s="2468"/>
      <c r="E59" s="2210"/>
      <c r="F59" s="2389"/>
      <c r="G59" s="406"/>
      <c r="H59" s="1506"/>
      <c r="I59" s="657"/>
      <c r="J59" s="577"/>
      <c r="K59" s="1506"/>
      <c r="L59" s="220"/>
      <c r="M59" s="2176"/>
      <c r="N59" s="340"/>
      <c r="O59" s="1630"/>
      <c r="P59" s="1630"/>
      <c r="AH59" s="1637">
        <v>0</v>
      </c>
    </row>
    <row s="1641" customFormat="1" customHeight="1" ht="18.75" hidden="1">
      <c r="A60" s="1786" t="s">
        <v>240</v>
      </c>
      <c r="B60" s="1786" t="s">
        <v>241</v>
      </c>
      <c r="C60" s="375"/>
      <c r="D60" s="2468"/>
      <c r="E60" s="2210"/>
      <c r="F60" s="2389" t="str">
        <f>INDEX(PT_DIFFERENTIATION_VTAR,MATCH(A60,PT_DIFFERENTIATION_VTAR_ID,0))</f>
        <v>Тариф на подвоз воды</v>
      </c>
      <c r="G60" s="2433" t="str">
        <f>INDEX(PT_DIFFERENTIATION_NTAR,MATCH(B60,PT_DIFFERENTIATION_NTAR_ID,0))</f>
        <v/>
      </c>
      <c r="H60" s="1868"/>
      <c r="I60" s="1745"/>
      <c r="J60" s="1779"/>
      <c r="K60" s="1871"/>
      <c r="L60" s="1868" t="s">
        <v>322</v>
      </c>
      <c r="M60" s="2176"/>
      <c r="N60" s="340"/>
      <c r="O60" s="1630"/>
      <c r="P60" s="1630"/>
      <c r="AH60" s="1637">
        <v>0</v>
      </c>
    </row>
    <row s="1641" customFormat="1" customHeight="1" ht="18.75" hidden="1">
      <c r="A61" s="1786"/>
      <c r="B61" s="1786"/>
      <c r="C61" s="375" t="s">
        <v>1190</v>
      </c>
      <c r="D61" s="2468"/>
      <c r="E61" s="2210"/>
      <c r="F61" s="2389"/>
      <c r="G61" s="2433"/>
      <c r="H61" s="1506"/>
      <c r="I61" s="657" t="s">
        <v>1191</v>
      </c>
      <c r="J61" s="577"/>
      <c r="K61" s="1506"/>
      <c r="L61" s="220"/>
      <c r="M61" s="2176"/>
      <c r="N61" s="340"/>
      <c r="O61" s="1630"/>
      <c r="P61" s="1630"/>
      <c r="AH61" s="1637">
        <v>0</v>
      </c>
    </row>
    <row s="1641" customFormat="1" customHeight="1" ht="0.75" hidden="1">
      <c r="A62" s="1786"/>
      <c r="B62" s="1786"/>
      <c r="C62" s="375" t="s">
        <v>1196</v>
      </c>
      <c r="D62" s="2468"/>
      <c r="E62" s="2210"/>
      <c r="F62" s="2389"/>
      <c r="G62" s="406"/>
      <c r="H62" s="1506"/>
      <c r="I62" s="657"/>
      <c r="J62" s="577"/>
      <c r="K62" s="1506"/>
      <c r="L62" s="220"/>
      <c r="M62" s="2176"/>
      <c r="N62" s="340"/>
      <c r="O62" s="1630"/>
      <c r="P62" s="1630"/>
      <c r="AH62" s="1637">
        <v>0</v>
      </c>
    </row>
    <row s="1641" customFormat="1" customHeight="1" ht="18.75" hidden="1">
      <c r="A63" s="1786" t="s">
        <v>247</v>
      </c>
      <c r="B63" s="1786" t="s">
        <v>248</v>
      </c>
      <c r="C63" s="375"/>
      <c r="D63" s="2468"/>
      <c r="E63" s="2210"/>
      <c r="F63" s="238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3" t="str">
        <f>INDEX(PT_DIFFERENTIATION_NTAR,MATCH(B63,PT_DIFFERENTIATION_NTAR_ID,0))</f>
        <v>Ставка тарифа на подключаемую нагрузку к централизованной системе холодного водоснабжения АО "ДГК" СП "Нерюнгринская ГРЭС" на 2026 год </v>
      </c>
      <c r="H63" s="1868"/>
      <c r="I63" s="1745"/>
      <c r="J63" s="1779"/>
      <c r="K63" s="1871"/>
      <c r="L63" s="1868" t="s">
        <v>322</v>
      </c>
      <c r="M63" s="2176"/>
      <c r="N63" s="340"/>
      <c r="O63" s="1630"/>
      <c r="P63" s="1630"/>
      <c r="AH63" s="1637">
        <v>0</v>
      </c>
    </row>
    <row s="1641" customFormat="1" customHeight="1" ht="18.75" hidden="1">
      <c r="A64" s="1786"/>
      <c r="B64" s="1786"/>
      <c r="C64" s="375" t="s">
        <v>1190</v>
      </c>
      <c r="D64" s="2468"/>
      <c r="E64" s="2210"/>
      <c r="F64" s="2389"/>
      <c r="G64" s="2433"/>
      <c r="H64" s="1506"/>
      <c r="I64" s="657" t="s">
        <v>1191</v>
      </c>
      <c r="J64" s="577"/>
      <c r="K64" s="1506"/>
      <c r="L64" s="220"/>
      <c r="M64" s="2176"/>
      <c r="N64" s="340"/>
      <c r="O64" s="1630"/>
      <c r="P64" s="1630"/>
      <c r="AH64" s="1637">
        <v>0</v>
      </c>
    </row>
    <row s="1641" customFormat="1" customHeight="1" ht="18.75">
      <c r="A65" s="1829" t="s">
        <v>247</v>
      </c>
      <c r="B65" s="1829" t="s">
        <v>255</v>
      </c>
      <c r="C65" s="1693"/>
      <c r="D65" s="350"/>
      <c r="E65" s="1037"/>
      <c r="F65" s="1037"/>
      <c r="G65" s="2433" t="str">
        <f>INDEX(PT_DIFFERENTIATION_NTAR,MATCH(B65,PT_DIFFERENTIATION_NTAR_ID,0))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(без учета расходов на благоустройство)</v>
      </c>
      <c r="H65" s="2277"/>
      <c r="I65" s="1745"/>
      <c r="J65" s="1779"/>
      <c r="K65" s="2311"/>
      <c r="L65" s="2277" t="s">
        <v>322</v>
      </c>
      <c r="M65" s="2324"/>
      <c r="N65" s="624"/>
      <c r="O65" s="1630"/>
      <c r="P65" s="1630"/>
      <c r="Q65" s="1641"/>
      <c r="R65" s="1641"/>
      <c r="S65" s="1641"/>
      <c r="T65" s="1641"/>
      <c r="U65" s="1641"/>
      <c r="V65" s="1641"/>
      <c r="W65" s="1641"/>
      <c r="X65" s="1641"/>
      <c r="Y65" s="1641"/>
      <c r="Z65" s="1641"/>
      <c r="AA65" s="1641"/>
      <c r="AB65" s="1641"/>
      <c r="AC65" s="1641"/>
      <c r="AD65" s="1641"/>
      <c r="AE65" s="1641"/>
      <c r="AF65" s="1641"/>
      <c r="AG65" s="1641"/>
      <c r="AH65" s="1641">
        <v>0</v>
      </c>
    </row>
    <row s="1641" customFormat="1" customHeight="1" ht="18.75">
      <c r="A66" s="1829"/>
      <c r="B66" s="1829"/>
      <c r="C66" s="1693" t="s">
        <v>1190</v>
      </c>
      <c r="D66" s="350"/>
      <c r="E66" s="1037"/>
      <c r="F66" s="1037"/>
      <c r="G66" s="2433"/>
      <c r="H66" s="3068"/>
      <c r="I66" s="3069" t="s">
        <v>1191</v>
      </c>
      <c r="J66" s="3070"/>
      <c r="K66" s="3071"/>
      <c r="L66" s="3072"/>
      <c r="M66" s="2324"/>
      <c r="N66" s="624"/>
      <c r="O66" s="1630"/>
      <c r="P66" s="1630"/>
      <c r="Q66" s="1641"/>
      <c r="R66" s="1641"/>
      <c r="S66" s="1641"/>
      <c r="T66" s="1641"/>
      <c r="U66" s="1641"/>
      <c r="V66" s="1641"/>
      <c r="W66" s="1641"/>
      <c r="X66" s="1641"/>
      <c r="Y66" s="1641"/>
      <c r="Z66" s="1641"/>
      <c r="AA66" s="1641"/>
      <c r="AB66" s="1641"/>
      <c r="AC66" s="1641"/>
      <c r="AD66" s="1641"/>
      <c r="AE66" s="1641"/>
      <c r="AF66" s="1641"/>
      <c r="AG66" s="1641"/>
      <c r="AH66" s="1641">
        <v>0</v>
      </c>
    </row>
    <row s="1641" customFormat="1" customHeight="1" ht="18.75">
      <c r="A67" s="1829" t="s">
        <v>247</v>
      </c>
      <c r="B67" s="1829" t="s">
        <v>260</v>
      </c>
      <c r="C67" s="1693"/>
      <c r="D67" s="350"/>
      <c r="E67" s="1037"/>
      <c r="F67" s="1037"/>
      <c r="G67" s="2433" t="str">
        <f>INDEX(PT_DIFFERENTIATION_NTAR,MATCH(B67,PT_DIFFERENTIATION_NTAR_ID,0))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(с учетом расходов на благоустройство)</v>
      </c>
      <c r="H67" s="2277"/>
      <c r="I67" s="1745"/>
      <c r="J67" s="1779"/>
      <c r="K67" s="2311"/>
      <c r="L67" s="2277" t="s">
        <v>322</v>
      </c>
      <c r="M67" s="2324"/>
      <c r="N67" s="624"/>
      <c r="O67" s="1630"/>
      <c r="P67" s="1630"/>
      <c r="Q67" s="1641"/>
      <c r="R67" s="1641"/>
      <c r="S67" s="1641"/>
      <c r="T67" s="1641"/>
      <c r="U67" s="1641"/>
      <c r="V67" s="1641"/>
      <c r="W67" s="1641"/>
      <c r="X67" s="1641"/>
      <c r="Y67" s="1641"/>
      <c r="Z67" s="1641"/>
      <c r="AA67" s="1641"/>
      <c r="AB67" s="1641"/>
      <c r="AC67" s="1641"/>
      <c r="AD67" s="1641"/>
      <c r="AE67" s="1641"/>
      <c r="AF67" s="1641"/>
      <c r="AG67" s="1641"/>
      <c r="AH67" s="1641">
        <v>0</v>
      </c>
    </row>
    <row s="1641" customFormat="1" customHeight="1" ht="18.75">
      <c r="A68" s="1829"/>
      <c r="B68" s="1829"/>
      <c r="C68" s="1693" t="s">
        <v>1190</v>
      </c>
      <c r="D68" s="350"/>
      <c r="E68" s="1037"/>
      <c r="F68" s="1037"/>
      <c r="G68" s="2433"/>
      <c r="H68" s="3073"/>
      <c r="I68" s="3074" t="s">
        <v>1191</v>
      </c>
      <c r="J68" s="3075"/>
      <c r="K68" s="3076"/>
      <c r="L68" s="3077"/>
      <c r="M68" s="2324"/>
      <c r="N68" s="624"/>
      <c r="O68" s="1630"/>
      <c r="P68" s="1630"/>
      <c r="Q68" s="1641"/>
      <c r="R68" s="1641"/>
      <c r="S68" s="1641"/>
      <c r="T68" s="1641"/>
      <c r="U68" s="1641"/>
      <c r="V68" s="1641"/>
      <c r="W68" s="1641"/>
      <c r="X68" s="1641"/>
      <c r="Y68" s="1641"/>
      <c r="Z68" s="1641"/>
      <c r="AA68" s="1641"/>
      <c r="AB68" s="1641"/>
      <c r="AC68" s="1641"/>
      <c r="AD68" s="1641"/>
      <c r="AE68" s="1641"/>
      <c r="AF68" s="1641"/>
      <c r="AG68" s="1641"/>
      <c r="AH68" s="1641">
        <v>0</v>
      </c>
    </row>
    <row s="1641" customFormat="1" customHeight="1" ht="0.75" hidden="1">
      <c r="A69" s="1786"/>
      <c r="B69" s="1786"/>
      <c r="C69" s="375" t="s">
        <v>1196</v>
      </c>
      <c r="D69" s="2468"/>
      <c r="E69" s="2210"/>
      <c r="F69" s="2389"/>
      <c r="G69" s="406"/>
      <c r="H69" s="1506"/>
      <c r="I69" s="657"/>
      <c r="J69" s="577"/>
      <c r="K69" s="1506"/>
      <c r="L69" s="220"/>
      <c r="M69" s="2176"/>
      <c r="N69" s="340"/>
      <c r="O69" s="1630"/>
      <c r="P69" s="1630"/>
      <c r="AH69" s="1637">
        <v>0</v>
      </c>
    </row>
    <row s="1641" customFormat="1" customHeight="1" ht="18.75" hidden="1">
      <c r="A70" s="1786" t="s">
        <v>266</v>
      </c>
      <c r="B70" s="1786" t="s">
        <v>267</v>
      </c>
      <c r="C70" s="375"/>
      <c r="D70" s="2468"/>
      <c r="E70" s="2210"/>
      <c r="F70" s="2389" t="str">
        <f>INDEX(PT_DIFFERENTIATION_VTAR,MATCH(A70,PT_DIFFERENTIATION_VTAR_ID,0))</f>
        <v>Тариф на горячую воду (горячее водоснабжение)</v>
      </c>
      <c r="G70" s="2433" t="str">
        <f>INDEX(PT_DIFFERENTIATION_NTAR,MATCH(B70,PT_DIFFERENTIATION_NTAR_ID,0))</f>
        <v/>
      </c>
      <c r="H70" s="1868"/>
      <c r="I70" s="1745"/>
      <c r="J70" s="1779"/>
      <c r="K70" s="1871"/>
      <c r="L70" s="1868" t="s">
        <v>322</v>
      </c>
      <c r="M70" s="2176"/>
      <c r="N70" s="340"/>
      <c r="O70" s="1630"/>
      <c r="P70" s="1630"/>
      <c r="AH70" s="1637">
        <v>0</v>
      </c>
    </row>
    <row s="1641" customFormat="1" customHeight="1" ht="18.75" hidden="1">
      <c r="A71" s="1786"/>
      <c r="B71" s="1786"/>
      <c r="C71" s="375" t="s">
        <v>1190</v>
      </c>
      <c r="D71" s="2468"/>
      <c r="E71" s="2210"/>
      <c r="F71" s="2389"/>
      <c r="G71" s="2433"/>
      <c r="H71" s="1506"/>
      <c r="I71" s="657" t="s">
        <v>1191</v>
      </c>
      <c r="J71" s="577"/>
      <c r="K71" s="1506"/>
      <c r="L71" s="220"/>
      <c r="M71" s="2176"/>
      <c r="N71" s="340"/>
      <c r="O71" s="1630"/>
      <c r="P71" s="1630"/>
      <c r="AH71" s="1637">
        <v>0</v>
      </c>
    </row>
    <row s="1641" customFormat="1" customHeight="1" ht="0.75" hidden="1">
      <c r="A72" s="1786"/>
      <c r="B72" s="1786"/>
      <c r="C72" s="375" t="s">
        <v>1196</v>
      </c>
      <c r="D72" s="2468"/>
      <c r="E72" s="2210"/>
      <c r="F72" s="2389"/>
      <c r="G72" s="406"/>
      <c r="H72" s="1506"/>
      <c r="I72" s="657"/>
      <c r="J72" s="577"/>
      <c r="K72" s="1506"/>
      <c r="L72" s="220"/>
      <c r="M72" s="2176"/>
      <c r="N72" s="340"/>
      <c r="O72" s="1630"/>
      <c r="P72" s="1630"/>
      <c r="AH72" s="1637">
        <v>0</v>
      </c>
    </row>
    <row s="1641" customFormat="1" customHeight="1" ht="18.75" hidden="1">
      <c r="A73" s="1786" t="s">
        <v>271</v>
      </c>
      <c r="B73" s="1786" t="s">
        <v>272</v>
      </c>
      <c r="C73" s="375"/>
      <c r="D73" s="2468"/>
      <c r="E73" s="2210"/>
      <c r="F73" s="2389" t="str">
        <f>INDEX(PT_DIFFERENTIATION_VTAR,MATCH(A73,PT_DIFFERENTIATION_VTAR_ID,0))</f>
        <v>Тариф на транспортировку горячей воды</v>
      </c>
      <c r="G73" s="2433" t="str">
        <f>INDEX(PT_DIFFERENTIATION_NTAR,MATCH(B73,PT_DIFFERENTIATION_NTAR_ID,0))</f>
        <v/>
      </c>
      <c r="H73" s="1868"/>
      <c r="I73" s="1745"/>
      <c r="J73" s="1779"/>
      <c r="K73" s="1871"/>
      <c r="L73" s="1868" t="s">
        <v>322</v>
      </c>
      <c r="M73" s="2176"/>
      <c r="N73" s="340"/>
      <c r="O73" s="1630"/>
      <c r="P73" s="1630"/>
      <c r="AH73" s="1637">
        <v>0</v>
      </c>
    </row>
    <row s="1641" customFormat="1" customHeight="1" ht="18.75" hidden="1">
      <c r="A74" s="1786"/>
      <c r="B74" s="1786"/>
      <c r="C74" s="375" t="s">
        <v>1190</v>
      </c>
      <c r="D74" s="2468"/>
      <c r="E74" s="2210"/>
      <c r="F74" s="2389"/>
      <c r="G74" s="2433"/>
      <c r="H74" s="1506"/>
      <c r="I74" s="657" t="s">
        <v>1191</v>
      </c>
      <c r="J74" s="577"/>
      <c r="K74" s="1506"/>
      <c r="L74" s="220"/>
      <c r="M74" s="2176"/>
      <c r="N74" s="340"/>
      <c r="O74" s="1630"/>
      <c r="P74" s="1630"/>
      <c r="AH74" s="1637">
        <v>0</v>
      </c>
    </row>
    <row s="1641" customFormat="1" customHeight="1" ht="0.75" hidden="1">
      <c r="A75" s="1786"/>
      <c r="B75" s="1786"/>
      <c r="C75" s="375" t="s">
        <v>1196</v>
      </c>
      <c r="D75" s="2468"/>
      <c r="E75" s="2210"/>
      <c r="F75" s="2389"/>
      <c r="G75" s="406"/>
      <c r="H75" s="1506"/>
      <c r="I75" s="657"/>
      <c r="J75" s="577"/>
      <c r="K75" s="1506"/>
      <c r="L75" s="220"/>
      <c r="M75" s="2176"/>
      <c r="N75" s="340"/>
      <c r="O75" s="1630"/>
      <c r="P75" s="1630"/>
      <c r="AH75" s="1637">
        <v>0</v>
      </c>
    </row>
    <row s="1641" customFormat="1" customHeight="1" ht="18.75" hidden="1">
      <c r="A76" s="1786" t="s">
        <v>276</v>
      </c>
      <c r="B76" s="1786" t="s">
        <v>277</v>
      </c>
      <c r="C76" s="375"/>
      <c r="D76" s="2468"/>
      <c r="E76" s="2210"/>
      <c r="F76" s="2389" t="str">
        <f>INDEX(PT_DIFFERENTIATION_VTAR,MATCH(A76,PT_DIFFERENTIATION_VTAR_ID,0))</f>
        <v>Тариф на подключение (технологическое присоединение) к централизованной системе горячего водоснабжения</v>
      </c>
      <c r="G76" s="2433" t="str">
        <f>INDEX(PT_DIFFERENTIATION_NTAR,MATCH(B76,PT_DIFFERENTIATION_NTAR_ID,0))</f>
        <v/>
      </c>
      <c r="H76" s="1868"/>
      <c r="I76" s="1745"/>
      <c r="J76" s="1779"/>
      <c r="K76" s="1871"/>
      <c r="L76" s="1868" t="s">
        <v>322</v>
      </c>
      <c r="M76" s="2176"/>
      <c r="N76" s="340"/>
      <c r="O76" s="1630"/>
      <c r="P76" s="1630"/>
      <c r="AH76" s="1637">
        <v>0</v>
      </c>
    </row>
    <row s="1641" customFormat="1" customHeight="1" ht="18.75" hidden="1">
      <c r="A77" s="1786"/>
      <c r="B77" s="1786"/>
      <c r="C77" s="375" t="s">
        <v>1190</v>
      </c>
      <c r="D77" s="2468"/>
      <c r="E77" s="2210"/>
      <c r="F77" s="2389"/>
      <c r="G77" s="2433"/>
      <c r="H77" s="1506"/>
      <c r="I77" s="657" t="s">
        <v>1191</v>
      </c>
      <c r="J77" s="577"/>
      <c r="K77" s="1506"/>
      <c r="L77" s="220"/>
      <c r="M77" s="2176"/>
      <c r="N77" s="340"/>
      <c r="O77" s="1630"/>
      <c r="P77" s="1630"/>
      <c r="AH77" s="1637">
        <v>0</v>
      </c>
    </row>
    <row s="1641" customFormat="1" customHeight="1" ht="0.75" hidden="1">
      <c r="A78" s="1786"/>
      <c r="B78" s="1786"/>
      <c r="C78" s="375" t="s">
        <v>1196</v>
      </c>
      <c r="D78" s="2468"/>
      <c r="E78" s="2210"/>
      <c r="F78" s="2389"/>
      <c r="G78" s="406"/>
      <c r="H78" s="1506"/>
      <c r="I78" s="657"/>
      <c r="J78" s="577"/>
      <c r="K78" s="1506"/>
      <c r="L78" s="220"/>
      <c r="M78" s="2176"/>
      <c r="N78" s="340"/>
      <c r="O78" s="1630"/>
      <c r="P78" s="1630"/>
      <c r="AH78" s="1637">
        <v>0</v>
      </c>
    </row>
    <row s="1641" customFormat="1" customHeight="1" ht="18.75" hidden="1">
      <c r="A79" s="1786" t="s">
        <v>281</v>
      </c>
      <c r="B79" s="1786" t="s">
        <v>282</v>
      </c>
      <c r="C79" s="375"/>
      <c r="D79" s="2468"/>
      <c r="E79" s="2210"/>
      <c r="F79" s="2389" t="str">
        <f>INDEX(PT_DIFFERENTIATION_VTAR,MATCH(A79,PT_DIFFERENTIATION_VTAR_ID,0))</f>
        <v>Тариф на водоотведение</v>
      </c>
      <c r="G79" s="2433" t="str">
        <f>INDEX(PT_DIFFERENTIATION_NTAR,MATCH(B79,PT_DIFFERENTIATION_NTAR_ID,0))</f>
        <v/>
      </c>
      <c r="H79" s="1868"/>
      <c r="I79" s="1745"/>
      <c r="J79" s="1779"/>
      <c r="K79" s="1871"/>
      <c r="L79" s="1868" t="s">
        <v>322</v>
      </c>
      <c r="M79" s="2176"/>
      <c r="N79" s="340"/>
      <c r="O79" s="1630"/>
      <c r="P79" s="1630"/>
      <c r="AH79" s="1637">
        <v>0</v>
      </c>
    </row>
    <row s="1641" customFormat="1" customHeight="1" ht="18.75" hidden="1">
      <c r="A80" s="1786"/>
      <c r="B80" s="1786"/>
      <c r="C80" s="375" t="s">
        <v>1190</v>
      </c>
      <c r="D80" s="2468"/>
      <c r="E80" s="2210"/>
      <c r="F80" s="2389"/>
      <c r="G80" s="2433"/>
      <c r="H80" s="1506"/>
      <c r="I80" s="657" t="s">
        <v>1191</v>
      </c>
      <c r="J80" s="577"/>
      <c r="K80" s="1506"/>
      <c r="L80" s="220"/>
      <c r="M80" s="2176"/>
      <c r="N80" s="340"/>
      <c r="O80" s="1630"/>
      <c r="P80" s="1630"/>
      <c r="AH80" s="1637">
        <v>0</v>
      </c>
    </row>
    <row s="1641" customFormat="1" customHeight="1" ht="0.75" hidden="1">
      <c r="A81" s="1786"/>
      <c r="B81" s="1786"/>
      <c r="C81" s="375" t="s">
        <v>1196</v>
      </c>
      <c r="D81" s="2468"/>
      <c r="E81" s="2210"/>
      <c r="F81" s="2389"/>
      <c r="G81" s="406"/>
      <c r="H81" s="1506"/>
      <c r="I81" s="657"/>
      <c r="J81" s="577"/>
      <c r="K81" s="1506"/>
      <c r="L81" s="220"/>
      <c r="M81" s="2176"/>
      <c r="N81" s="340"/>
      <c r="O81" s="1630"/>
      <c r="P81" s="1630"/>
      <c r="AH81" s="1637">
        <v>0</v>
      </c>
    </row>
    <row s="1641" customFormat="1" customHeight="1" ht="18.75" hidden="1">
      <c r="A82" s="1786" t="s">
        <v>286</v>
      </c>
      <c r="B82" s="1786" t="s">
        <v>287</v>
      </c>
      <c r="C82" s="375"/>
      <c r="D82" s="2468"/>
      <c r="E82" s="2210"/>
      <c r="F82" s="2389" t="str">
        <f>INDEX(PT_DIFFERENTIATION_VTAR,MATCH(A82,PT_DIFFERENTIATION_VTAR_ID,0))</f>
        <v>Тариф на транспортировку сточных вод</v>
      </c>
      <c r="G82" s="2433" t="str">
        <f>INDEX(PT_DIFFERENTIATION_NTAR,MATCH(B82,PT_DIFFERENTIATION_NTAR_ID,0))</f>
        <v/>
      </c>
      <c r="H82" s="1868"/>
      <c r="I82" s="1745"/>
      <c r="J82" s="1779"/>
      <c r="K82" s="1871"/>
      <c r="L82" s="1868" t="s">
        <v>322</v>
      </c>
      <c r="M82" s="2176"/>
      <c r="N82" s="340"/>
      <c r="O82" s="1630"/>
      <c r="P82" s="1630"/>
      <c r="AH82" s="1637">
        <v>0</v>
      </c>
    </row>
    <row s="1641" customFormat="1" customHeight="1" ht="18.75" hidden="1">
      <c r="A83" s="1786"/>
      <c r="B83" s="1786"/>
      <c r="C83" s="375" t="s">
        <v>1190</v>
      </c>
      <c r="D83" s="2468"/>
      <c r="E83" s="2210"/>
      <c r="F83" s="2389"/>
      <c r="G83" s="2433"/>
      <c r="H83" s="1506"/>
      <c r="I83" s="657" t="s">
        <v>1191</v>
      </c>
      <c r="J83" s="577"/>
      <c r="K83" s="1506"/>
      <c r="L83" s="220"/>
      <c r="M83" s="2176"/>
      <c r="N83" s="340"/>
      <c r="O83" s="1630"/>
      <c r="P83" s="1630"/>
      <c r="AH83" s="1637">
        <v>0</v>
      </c>
    </row>
    <row s="1641" customFormat="1" customHeight="1" ht="0.75" hidden="1">
      <c r="A84" s="1786"/>
      <c r="B84" s="1786"/>
      <c r="C84" s="375" t="s">
        <v>1196</v>
      </c>
      <c r="D84" s="2468"/>
      <c r="E84" s="2210"/>
      <c r="F84" s="2389"/>
      <c r="G84" s="406"/>
      <c r="H84" s="1506"/>
      <c r="I84" s="657"/>
      <c r="J84" s="577"/>
      <c r="K84" s="1506"/>
      <c r="L84" s="220"/>
      <c r="M84" s="2176"/>
      <c r="N84" s="340"/>
      <c r="O84" s="1630"/>
      <c r="P84" s="1630"/>
      <c r="AH84" s="1637">
        <v>0</v>
      </c>
    </row>
    <row s="1641" customFormat="1" customHeight="1" ht="18.75" hidden="1">
      <c r="A85" s="1786" t="s">
        <v>291</v>
      </c>
      <c r="B85" s="1786" t="s">
        <v>292</v>
      </c>
      <c r="C85" s="375"/>
      <c r="D85" s="2468"/>
      <c r="E85" s="2210"/>
      <c r="F85" s="2389" t="str">
        <f>INDEX(PT_DIFFERENTIATION_VTAR,MATCH(A85,PT_DIFFERENTIATION_VTAR_ID,0))</f>
        <v>Тариф на подключение (технологическое присоединение) к централизованной системе водоотведения</v>
      </c>
      <c r="G85" s="2433" t="str">
        <f>INDEX(PT_DIFFERENTIATION_NTAR,MATCH(B85,PT_DIFFERENTIATION_NTAR_ID,0))</f>
        <v/>
      </c>
      <c r="H85" s="1868"/>
      <c r="I85" s="1745"/>
      <c r="J85" s="1779"/>
      <c r="K85" s="1871"/>
      <c r="L85" s="1868" t="s">
        <v>322</v>
      </c>
      <c r="M85" s="2176"/>
      <c r="N85" s="340"/>
      <c r="O85" s="1630"/>
      <c r="P85" s="1630"/>
      <c r="AH85" s="1637">
        <v>0</v>
      </c>
    </row>
    <row s="1641" customFormat="1" customHeight="1" ht="18.75" hidden="1">
      <c r="A86" s="1786"/>
      <c r="B86" s="1786"/>
      <c r="C86" s="375" t="s">
        <v>1190</v>
      </c>
      <c r="D86" s="2468"/>
      <c r="E86" s="2210"/>
      <c r="F86" s="2389"/>
      <c r="G86" s="2433"/>
      <c r="H86" s="1506"/>
      <c r="I86" s="657" t="s">
        <v>1191</v>
      </c>
      <c r="J86" s="577"/>
      <c r="K86" s="1506"/>
      <c r="L86" s="220"/>
      <c r="M86" s="2176"/>
      <c r="N86" s="340"/>
      <c r="O86" s="1630"/>
      <c r="P86" s="1630"/>
      <c r="AH86" s="1637">
        <v>0</v>
      </c>
    </row>
    <row s="1641" customFormat="1" customHeight="1" ht="1.05">
      <c r="A87" s="1786"/>
      <c r="B87" s="1786"/>
      <c r="C87" s="375" t="s">
        <v>1196</v>
      </c>
      <c r="D87" s="2468"/>
      <c r="E87" s="2210"/>
      <c r="F87" s="2389"/>
      <c r="G87" s="406"/>
      <c r="H87" s="1506"/>
      <c r="I87" s="657"/>
      <c r="J87" s="577"/>
      <c r="K87" s="1506"/>
      <c r="L87" s="220"/>
      <c r="M87" s="2176"/>
      <c r="N87" s="340"/>
      <c r="O87" s="1630"/>
      <c r="P87" s="1630"/>
      <c r="AH87" s="1637">
        <v>1</v>
      </c>
    </row>
    <row customHeight="1" ht="19.95">
      <c r="A88" s="1786"/>
      <c r="B88" s="1786"/>
      <c r="D88" s="382"/>
      <c r="E88" s="153" t="s">
        <v>112</v>
      </c>
      <c r="F88" s="24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8" s="2466"/>
      <c r="H88" s="2466"/>
      <c r="I88" s="2466"/>
      <c r="J88" s="2466"/>
      <c r="K88" s="2466"/>
      <c r="L88" s="2466"/>
      <c r="M88" s="303"/>
      <c r="N88" s="340"/>
      <c r="AH88" s="380">
        <v>19</v>
      </c>
    </row>
    <row customHeight="1" ht="35.699999999999996">
      <c r="A89" s="1786"/>
      <c r="B89" s="1786"/>
      <c r="D89" s="382"/>
      <c r="E89" s="405"/>
      <c r="F89" s="204" t="s">
        <v>322</v>
      </c>
      <c r="G89" s="204" t="s">
        <v>322</v>
      </c>
      <c r="H89" s="2224" t="s">
        <v>322</v>
      </c>
      <c r="I89" s="2226"/>
      <c r="J89" s="204" t="s">
        <v>322</v>
      </c>
      <c r="K89" s="204" t="s">
        <v>322</v>
      </c>
      <c r="L89" s="407"/>
      <c r="M89" s="351" t="s">
        <v>1197</v>
      </c>
      <c r="N89" s="340"/>
      <c r="AH89" s="380">
        <v>34</v>
      </c>
    </row>
    <row customHeight="1" ht="19.95">
      <c r="A90" s="1786"/>
      <c r="B90" s="1786"/>
      <c r="D90" s="382"/>
      <c r="E90" s="153" t="s">
        <v>91</v>
      </c>
      <c r="F90" s="2466" t="s">
        <v>1198</v>
      </c>
      <c r="G90" s="2466"/>
      <c r="H90" s="2466"/>
      <c r="I90" s="2466"/>
      <c r="J90" s="2466"/>
      <c r="K90" s="2466"/>
      <c r="L90" s="2466"/>
      <c r="M90" s="303"/>
      <c r="N90" s="340"/>
      <c r="AH90" s="380">
        <v>19</v>
      </c>
    </row>
    <row s="1641" customFormat="1" customHeight="1" ht="60.75" hidden="1">
      <c r="A91" s="1786" t="s">
        <v>157</v>
      </c>
      <c r="B91" s="1786" t="s">
        <v>158</v>
      </c>
      <c r="C91" s="375"/>
      <c r="D91" s="2468"/>
      <c r="E91" s="2210"/>
      <c r="F91" s="2389"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433" t="str">
        <f>INDEX(PT_DIFFERENTIATION_NTAR,MATCH(B91,PT_DIFFERENTIATION_NTAR_ID,0))</f>
        <v/>
      </c>
      <c r="H91" s="1868"/>
      <c r="I91" s="1745"/>
      <c r="J91" s="1779"/>
      <c r="K91" s="1784"/>
      <c r="L91" s="1868" t="s">
        <v>322</v>
      </c>
      <c r="M91"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340"/>
      <c r="O91" s="1630"/>
      <c r="P91" s="1630"/>
      <c r="AH91" s="1637">
        <v>0</v>
      </c>
    </row>
    <row s="1641" customFormat="1" customHeight="1" ht="18.75" hidden="1">
      <c r="A92" s="1786"/>
      <c r="B92" s="1786"/>
      <c r="C92" s="375" t="s">
        <v>1192</v>
      </c>
      <c r="D92" s="2468"/>
      <c r="E92" s="2210"/>
      <c r="F92" s="2389"/>
      <c r="G92" s="2433"/>
      <c r="H92" s="1506"/>
      <c r="I92" s="657" t="s">
        <v>1191</v>
      </c>
      <c r="J92" s="577"/>
      <c r="K92" s="1506"/>
      <c r="L92" s="220"/>
      <c r="M92" s="2176"/>
      <c r="N92" s="340"/>
      <c r="O92" s="1630"/>
      <c r="P92" s="1630"/>
      <c r="AH92" s="1637">
        <v>0</v>
      </c>
    </row>
    <row s="1641" customFormat="1" customHeight="1" ht="0.75" hidden="1">
      <c r="A93" s="1786"/>
      <c r="B93" s="1786"/>
      <c r="C93" s="375" t="s">
        <v>1199</v>
      </c>
      <c r="D93" s="2468"/>
      <c r="E93" s="2210"/>
      <c r="F93" s="2389"/>
      <c r="G93" s="406"/>
      <c r="H93" s="1506"/>
      <c r="I93" s="657"/>
      <c r="J93" s="577"/>
      <c r="K93" s="1506"/>
      <c r="L93" s="220"/>
      <c r="M93" s="2176"/>
      <c r="N93" s="340"/>
      <c r="O93" s="1630"/>
      <c r="P93" s="1630"/>
      <c r="AH93" s="1637">
        <v>0</v>
      </c>
    </row>
    <row s="1641" customFormat="1" customHeight="1" ht="45" hidden="1">
      <c r="A94" s="1786" t="s">
        <v>162</v>
      </c>
      <c r="B94" s="1786" t="s">
        <v>163</v>
      </c>
      <c r="C94" s="375"/>
      <c r="D94" s="2468"/>
      <c r="E94" s="2210"/>
      <c r="F94" s="2389" t="str">
        <f>INDEX(PT_DIFFERENTIATION_VTAR,MATCH(A94,PT_DIFFERENTIATION_VTAR_ID,0))</f>
        <v/>
      </c>
      <c r="G94" s="2433" t="str">
        <f>INDEX(PT_DIFFERENTIATION_NTAR,MATCH(B94,PT_DIFFERENTIATION_NTAR_ID,0))</f>
        <v/>
      </c>
      <c r="H94" s="1868"/>
      <c r="I94" s="1745"/>
      <c r="J94" s="1779"/>
      <c r="K94" s="1784"/>
      <c r="L94" s="1868" t="s">
        <v>322</v>
      </c>
      <c r="M94" s="2177"/>
      <c r="N94" s="340"/>
      <c r="O94" s="1630"/>
      <c r="P94" s="1630"/>
      <c r="AH94" s="1637">
        <v>0</v>
      </c>
    </row>
    <row s="1641" customFormat="1" customHeight="1" ht="18.75" hidden="1">
      <c r="A95" s="1786"/>
      <c r="B95" s="1786"/>
      <c r="C95" s="375" t="s">
        <v>1192</v>
      </c>
      <c r="D95" s="2468"/>
      <c r="E95" s="2210"/>
      <c r="F95" s="2389"/>
      <c r="G95" s="2433"/>
      <c r="H95" s="1506"/>
      <c r="I95" s="657" t="s">
        <v>1191</v>
      </c>
      <c r="J95" s="577"/>
      <c r="K95" s="1506"/>
      <c r="L95" s="220"/>
      <c r="M95" s="1867"/>
      <c r="N95" s="340"/>
      <c r="O95" s="1630"/>
      <c r="P95" s="1630"/>
      <c r="AH95" s="1637">
        <v>0</v>
      </c>
    </row>
    <row s="1641" customFormat="1" customHeight="1" ht="0.75" hidden="1">
      <c r="A96" s="1786"/>
      <c r="B96" s="1786"/>
      <c r="C96" s="375" t="s">
        <v>1199</v>
      </c>
      <c r="D96" s="2468"/>
      <c r="E96" s="2210"/>
      <c r="F96" s="2389"/>
      <c r="G96" s="406"/>
      <c r="H96" s="1506"/>
      <c r="I96" s="657"/>
      <c r="J96" s="577"/>
      <c r="K96" s="1506"/>
      <c r="L96" s="220"/>
      <c r="M96" s="347"/>
      <c r="N96" s="340"/>
      <c r="O96" s="1630"/>
      <c r="P96" s="1630"/>
      <c r="AH96" s="1637">
        <v>0</v>
      </c>
    </row>
    <row s="1641" customFormat="1" customHeight="1" ht="45" hidden="1">
      <c r="A97" s="1786" t="s">
        <v>169</v>
      </c>
      <c r="B97" s="1786" t="s">
        <v>170</v>
      </c>
      <c r="C97" s="375"/>
      <c r="D97" s="2468"/>
      <c r="E97" s="2210"/>
      <c r="F97" s="2389"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433" t="str">
        <f>INDEX(PT_DIFFERENTIATION_NTAR,MATCH(B97,PT_DIFFERENTIATION_NTAR_ID,0))</f>
        <v/>
      </c>
      <c r="H97" s="1868"/>
      <c r="I97" s="1745"/>
      <c r="J97" s="1779"/>
      <c r="K97" s="1784"/>
      <c r="L97" s="1868" t="s">
        <v>322</v>
      </c>
      <c r="M97" s="347"/>
      <c r="N97" s="340"/>
      <c r="O97" s="1630"/>
      <c r="P97" s="1630"/>
      <c r="AH97" s="1637">
        <v>0</v>
      </c>
    </row>
    <row s="1641" customFormat="1" customHeight="1" ht="18.75" hidden="1">
      <c r="A98" s="1786"/>
      <c r="B98" s="1786"/>
      <c r="C98" s="375" t="s">
        <v>1192</v>
      </c>
      <c r="D98" s="2468"/>
      <c r="E98" s="2210"/>
      <c r="F98" s="2389"/>
      <c r="G98" s="2433"/>
      <c r="H98" s="1506"/>
      <c r="I98" s="657" t="s">
        <v>1191</v>
      </c>
      <c r="J98" s="577"/>
      <c r="K98" s="1506"/>
      <c r="L98" s="220"/>
      <c r="M98" s="347"/>
      <c r="N98" s="340"/>
      <c r="O98" s="1630"/>
      <c r="P98" s="1630"/>
      <c r="AH98" s="1637">
        <v>0</v>
      </c>
    </row>
    <row s="1641" customFormat="1" customHeight="1" ht="0.75" hidden="1">
      <c r="A99" s="1786"/>
      <c r="B99" s="1786"/>
      <c r="C99" s="375" t="s">
        <v>1199</v>
      </c>
      <c r="D99" s="2468"/>
      <c r="E99" s="2210"/>
      <c r="F99" s="2389"/>
      <c r="G99" s="406"/>
      <c r="H99" s="1506"/>
      <c r="I99" s="657"/>
      <c r="J99" s="577"/>
      <c r="K99" s="1506"/>
      <c r="L99" s="220"/>
      <c r="M99" s="347"/>
      <c r="N99" s="340"/>
      <c r="O99" s="1630"/>
      <c r="P99" s="1630"/>
      <c r="AH99" s="1637">
        <v>0</v>
      </c>
    </row>
    <row s="1641" customFormat="1" customHeight="1" ht="45" hidden="1">
      <c r="A100" s="1786" t="s">
        <v>175</v>
      </c>
      <c r="B100" s="1786" t="s">
        <v>176</v>
      </c>
      <c r="C100" s="375"/>
      <c r="D100" s="2468"/>
      <c r="E100" s="2210"/>
      <c r="F100" s="2389"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433" t="str">
        <f>INDEX(PT_DIFFERENTIATION_NTAR,MATCH(B100,PT_DIFFERENTIATION_NTAR_ID,0))</f>
        <v/>
      </c>
      <c r="H100" s="1868"/>
      <c r="I100" s="1745"/>
      <c r="J100" s="1779"/>
      <c r="K100" s="1784"/>
      <c r="L100" s="1868" t="s">
        <v>322</v>
      </c>
      <c r="M100" s="347"/>
      <c r="N100" s="340"/>
      <c r="O100" s="1630"/>
      <c r="P100" s="1630"/>
      <c r="AH100" s="1637">
        <v>0</v>
      </c>
    </row>
    <row s="1641" customFormat="1" customHeight="1" ht="18.75" hidden="1">
      <c r="A101" s="1786"/>
      <c r="B101" s="1786"/>
      <c r="C101" s="375" t="s">
        <v>1192</v>
      </c>
      <c r="D101" s="2468"/>
      <c r="E101" s="2210"/>
      <c r="F101" s="2389"/>
      <c r="G101" s="2433"/>
      <c r="H101" s="1506"/>
      <c r="I101" s="657" t="s">
        <v>1191</v>
      </c>
      <c r="J101" s="577"/>
      <c r="K101" s="1506"/>
      <c r="L101" s="220"/>
      <c r="M101" s="347"/>
      <c r="N101" s="340"/>
      <c r="O101" s="1630"/>
      <c r="P101" s="1630"/>
      <c r="AH101" s="1637">
        <v>0</v>
      </c>
    </row>
    <row s="1641" customFormat="1" customHeight="1" ht="0.75" hidden="1">
      <c r="A102" s="1786"/>
      <c r="B102" s="1786"/>
      <c r="C102" s="375" t="s">
        <v>1199</v>
      </c>
      <c r="D102" s="2468"/>
      <c r="E102" s="2210"/>
      <c r="F102" s="2389"/>
      <c r="G102" s="406"/>
      <c r="H102" s="1506"/>
      <c r="I102" s="657"/>
      <c r="J102" s="577"/>
      <c r="K102" s="1506"/>
      <c r="L102" s="220"/>
      <c r="M102" s="347"/>
      <c r="N102" s="340"/>
      <c r="O102" s="1630"/>
      <c r="P102" s="1630"/>
      <c r="AH102" s="1637">
        <v>0</v>
      </c>
    </row>
    <row s="1641" customFormat="1" customHeight="1" ht="18.75" hidden="1">
      <c r="A103" s="1786" t="s">
        <v>181</v>
      </c>
      <c r="B103" s="1786" t="s">
        <v>182</v>
      </c>
      <c r="C103" s="375"/>
      <c r="D103" s="2468"/>
      <c r="E103" s="2210"/>
      <c r="F103" s="2389" t="str">
        <f>INDEX(PT_DIFFERENTIATION_VTAR,MATCH(A103,PT_DIFFERENTIATION_VTAR_ID,0))</f>
        <v>Тарифы на услуги по передаче тепловой энергии</v>
      </c>
      <c r="G103" s="2433" t="str">
        <f>INDEX(PT_DIFFERENTIATION_NTAR,MATCH(B103,PT_DIFFERENTIATION_NTAR_ID,0))</f>
        <v/>
      </c>
      <c r="H103" s="1868"/>
      <c r="I103" s="1745"/>
      <c r="J103" s="1779"/>
      <c r="K103" s="1784"/>
      <c r="L103" s="1868" t="s">
        <v>322</v>
      </c>
      <c r="M103" s="347"/>
      <c r="N103" s="340"/>
      <c r="O103" s="1630"/>
      <c r="P103" s="1630"/>
      <c r="AH103" s="1637">
        <v>0</v>
      </c>
    </row>
    <row s="1641" customFormat="1" customHeight="1" ht="18.75" hidden="1">
      <c r="A104" s="1786"/>
      <c r="B104" s="1786"/>
      <c r="C104" s="375" t="s">
        <v>1192</v>
      </c>
      <c r="D104" s="2468"/>
      <c r="E104" s="2210"/>
      <c r="F104" s="2389"/>
      <c r="G104" s="2433"/>
      <c r="H104" s="1506"/>
      <c r="I104" s="657" t="s">
        <v>1191</v>
      </c>
      <c r="J104" s="577"/>
      <c r="K104" s="1506"/>
      <c r="L104" s="220"/>
      <c r="M104" s="347"/>
      <c r="N104" s="340"/>
      <c r="O104" s="1630"/>
      <c r="P104" s="1630"/>
      <c r="AH104" s="1637">
        <v>0</v>
      </c>
    </row>
    <row s="1641" customFormat="1" customHeight="1" ht="0.75" hidden="1">
      <c r="A105" s="1786"/>
      <c r="B105" s="1786"/>
      <c r="C105" s="375" t="s">
        <v>1199</v>
      </c>
      <c r="D105" s="2468"/>
      <c r="E105" s="2210"/>
      <c r="F105" s="2389"/>
      <c r="G105" s="406"/>
      <c r="H105" s="1506"/>
      <c r="I105" s="657"/>
      <c r="J105" s="577"/>
      <c r="K105" s="1506"/>
      <c r="L105" s="220"/>
      <c r="M105" s="347"/>
      <c r="N105" s="340"/>
      <c r="O105" s="1630"/>
      <c r="P105" s="1630"/>
      <c r="AH105" s="1637">
        <v>0</v>
      </c>
    </row>
    <row s="1641" customFormat="1" customHeight="1" ht="18.75" hidden="1">
      <c r="A106" s="1786" t="s">
        <v>187</v>
      </c>
      <c r="B106" s="1786" t="s">
        <v>188</v>
      </c>
      <c r="C106" s="375"/>
      <c r="D106" s="2468"/>
      <c r="E106" s="2210"/>
      <c r="F106" s="2389" t="str">
        <f>INDEX(PT_DIFFERENTIATION_VTAR,MATCH(A106,PT_DIFFERENTIATION_VTAR_ID,0))</f>
        <v>Тарифы на услуги по передаче теплоносителя</v>
      </c>
      <c r="G106" s="2433" t="str">
        <f>INDEX(PT_DIFFERENTIATION_NTAR,MATCH(B106,PT_DIFFERENTIATION_NTAR_ID,0))</f>
        <v/>
      </c>
      <c r="H106" s="1868"/>
      <c r="I106" s="1745"/>
      <c r="J106" s="1779"/>
      <c r="K106" s="1784"/>
      <c r="L106" s="1868" t="s">
        <v>322</v>
      </c>
      <c r="M106" s="347"/>
      <c r="N106" s="340"/>
      <c r="O106" s="1630"/>
      <c r="P106" s="1630"/>
      <c r="AH106" s="1637">
        <v>0</v>
      </c>
    </row>
    <row s="1641" customFormat="1" customHeight="1" ht="18.75" hidden="1">
      <c r="A107" s="1786"/>
      <c r="B107" s="1786"/>
      <c r="C107" s="375" t="s">
        <v>1192</v>
      </c>
      <c r="D107" s="2468"/>
      <c r="E107" s="2210"/>
      <c r="F107" s="2389"/>
      <c r="G107" s="2433"/>
      <c r="H107" s="1506"/>
      <c r="I107" s="657" t="s">
        <v>1191</v>
      </c>
      <c r="J107" s="577"/>
      <c r="K107" s="1506"/>
      <c r="L107" s="220"/>
      <c r="M107" s="347"/>
      <c r="N107" s="340"/>
      <c r="O107" s="1630"/>
      <c r="P107" s="1630"/>
      <c r="AH107" s="1637">
        <v>0</v>
      </c>
    </row>
    <row s="1641" customFormat="1" customHeight="1" ht="0.75" hidden="1">
      <c r="A108" s="1786"/>
      <c r="B108" s="1786"/>
      <c r="C108" s="375" t="s">
        <v>1199</v>
      </c>
      <c r="D108" s="2468"/>
      <c r="E108" s="2210"/>
      <c r="F108" s="2389"/>
      <c r="G108" s="406"/>
      <c r="H108" s="1506"/>
      <c r="I108" s="657"/>
      <c r="J108" s="577"/>
      <c r="K108" s="1506"/>
      <c r="L108" s="220"/>
      <c r="M108" s="347"/>
      <c r="N108" s="340"/>
      <c r="O108" s="1630"/>
      <c r="P108" s="1630"/>
      <c r="AH108" s="1637">
        <v>0</v>
      </c>
    </row>
    <row s="1641" customFormat="1" customHeight="1" ht="18.75" hidden="1">
      <c r="A109" s="1786" t="s">
        <v>193</v>
      </c>
      <c r="B109" s="1786" t="s">
        <v>194</v>
      </c>
      <c r="C109" s="375"/>
      <c r="D109" s="2468"/>
      <c r="E109" s="2210"/>
      <c r="F109" s="2389"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433" t="str">
        <f>INDEX(PT_DIFFERENTIATION_NTAR,MATCH(B109,PT_DIFFERENTIATION_NTAR_ID,0))</f>
        <v/>
      </c>
      <c r="H109" s="1868"/>
      <c r="I109" s="1745"/>
      <c r="J109" s="1779"/>
      <c r="K109" s="1784"/>
      <c r="L109" s="1868" t="s">
        <v>322</v>
      </c>
      <c r="M109" s="347"/>
      <c r="N109" s="340"/>
      <c r="O109" s="1630"/>
      <c r="P109" s="1630"/>
      <c r="AH109" s="1637">
        <v>0</v>
      </c>
    </row>
    <row s="1641" customFormat="1" customHeight="1" ht="18.75" hidden="1">
      <c r="A110" s="1786"/>
      <c r="B110" s="1786"/>
      <c r="C110" s="375" t="s">
        <v>1192</v>
      </c>
      <c r="D110" s="2468"/>
      <c r="E110" s="2210"/>
      <c r="F110" s="2389"/>
      <c r="G110" s="2433"/>
      <c r="H110" s="1506"/>
      <c r="I110" s="657" t="s">
        <v>1191</v>
      </c>
      <c r="J110" s="577"/>
      <c r="K110" s="1506"/>
      <c r="L110" s="220"/>
      <c r="M110" s="347"/>
      <c r="N110" s="340"/>
      <c r="O110" s="1630"/>
      <c r="P110" s="1630"/>
      <c r="AH110" s="1637">
        <v>0</v>
      </c>
    </row>
    <row s="1641" customFormat="1" customHeight="1" ht="0.75" hidden="1">
      <c r="A111" s="1786"/>
      <c r="B111" s="1786"/>
      <c r="C111" s="375" t="s">
        <v>1199</v>
      </c>
      <c r="D111" s="2468"/>
      <c r="E111" s="2210"/>
      <c r="F111" s="2389"/>
      <c r="G111" s="406"/>
      <c r="H111" s="1506"/>
      <c r="I111" s="657"/>
      <c r="J111" s="577"/>
      <c r="K111" s="1506"/>
      <c r="L111" s="220"/>
      <c r="M111" s="347"/>
      <c r="N111" s="340"/>
      <c r="O111" s="1630"/>
      <c r="P111" s="1630"/>
      <c r="AH111" s="1637">
        <v>0</v>
      </c>
    </row>
    <row s="1641" customFormat="1" customHeight="1" ht="18.75" hidden="1">
      <c r="A112" s="1786" t="s">
        <v>199</v>
      </c>
      <c r="B112" s="1786" t="s">
        <v>200</v>
      </c>
      <c r="C112" s="375"/>
      <c r="D112" s="2468"/>
      <c r="E112" s="2210"/>
      <c r="F112" s="2389" t="str">
        <f>INDEX(PT_DIFFERENTIATION_VTAR,MATCH(A112,PT_DIFFERENTIATION_VTAR_ID,0))</f>
        <v>Плата за подключение (технологическое присоединение) к системе теплоснабжения</v>
      </c>
      <c r="G112" s="2433" t="str">
        <f>INDEX(PT_DIFFERENTIATION_NTAR,MATCH(B112,PT_DIFFERENTIATION_NTAR_ID,0))</f>
        <v/>
      </c>
      <c r="H112" s="1868"/>
      <c r="I112" s="1745"/>
      <c r="J112" s="1779"/>
      <c r="K112" s="1784"/>
      <c r="L112" s="1868" t="s">
        <v>322</v>
      </c>
      <c r="M112" s="347"/>
      <c r="N112" s="340"/>
      <c r="O112" s="1630"/>
      <c r="P112" s="1630"/>
      <c r="AH112" s="1637">
        <v>0</v>
      </c>
    </row>
    <row s="1641" customFormat="1" customHeight="1" ht="18.75" hidden="1">
      <c r="A113" s="1786"/>
      <c r="B113" s="1786"/>
      <c r="C113" s="375" t="s">
        <v>1192</v>
      </c>
      <c r="D113" s="2468"/>
      <c r="E113" s="2210"/>
      <c r="F113" s="2389"/>
      <c r="G113" s="2433"/>
      <c r="H113" s="1506"/>
      <c r="I113" s="657" t="s">
        <v>1191</v>
      </c>
      <c r="J113" s="577"/>
      <c r="K113" s="1506"/>
      <c r="L113" s="220"/>
      <c r="M113" s="347"/>
      <c r="N113" s="340"/>
      <c r="O113" s="1630"/>
      <c r="P113" s="1630"/>
      <c r="AH113" s="1637">
        <v>0</v>
      </c>
    </row>
    <row s="1641" customFormat="1" customHeight="1" ht="0.75" hidden="1">
      <c r="A114" s="1786"/>
      <c r="B114" s="1786"/>
      <c r="C114" s="375" t="s">
        <v>1199</v>
      </c>
      <c r="D114" s="2468"/>
      <c r="E114" s="2210"/>
      <c r="F114" s="2389"/>
      <c r="G114" s="406"/>
      <c r="H114" s="1506"/>
      <c r="I114" s="657"/>
      <c r="J114" s="577"/>
      <c r="K114" s="1506"/>
      <c r="L114" s="220"/>
      <c r="M114" s="347"/>
      <c r="N114" s="340"/>
      <c r="O114" s="1630"/>
      <c r="P114" s="1630"/>
      <c r="AH114" s="1637">
        <v>0</v>
      </c>
    </row>
    <row s="1641" customFormat="1" customHeight="1" ht="18.75" hidden="1">
      <c r="A115" s="1786" t="s">
        <v>205</v>
      </c>
      <c r="B115" s="1786" t="s">
        <v>206</v>
      </c>
      <c r="C115" s="375"/>
      <c r="D115" s="2468"/>
      <c r="E115" s="2210"/>
      <c r="F115" s="2389" t="str">
        <f>INDEX(PT_DIFFERENTIATION_VTAR,MATCH(A115,PT_DIFFERENTIATION_VTAR_ID,0))</f>
        <v>Плата за подключение (технологическое присоединение) к системе теплоснабжения (индивидуальная)</v>
      </c>
      <c r="G115" s="2433" t="str">
        <f>INDEX(PT_DIFFERENTIATION_NTAR,MATCH(B115,PT_DIFFERENTIATION_NTAR_ID,0))</f>
        <v/>
      </c>
      <c r="H115" s="1995"/>
      <c r="I115" s="1745"/>
      <c r="J115" s="1779"/>
      <c r="K115" s="1784"/>
      <c r="L115" s="1995" t="s">
        <v>322</v>
      </c>
      <c r="M115" s="347"/>
      <c r="N115" s="340"/>
      <c r="O115" s="1630"/>
      <c r="P115" s="1630"/>
      <c r="AH115" s="1637">
        <v>0</v>
      </c>
    </row>
    <row s="1641" customFormat="1" customHeight="1" ht="18.75" hidden="1">
      <c r="A116" s="1786"/>
      <c r="B116" s="1786"/>
      <c r="C116" s="375" t="s">
        <v>1192</v>
      </c>
      <c r="D116" s="2468"/>
      <c r="E116" s="2210"/>
      <c r="F116" s="2389"/>
      <c r="G116" s="2433"/>
      <c r="H116" s="1506"/>
      <c r="I116" s="657" t="s">
        <v>1191</v>
      </c>
      <c r="J116" s="577"/>
      <c r="K116" s="1506"/>
      <c r="L116" s="220"/>
      <c r="M116" s="347"/>
      <c r="N116" s="340"/>
      <c r="O116" s="1630"/>
      <c r="P116" s="1630"/>
      <c r="AH116" s="1637">
        <v>0</v>
      </c>
    </row>
    <row s="1641" customFormat="1" customHeight="1" ht="0.75" hidden="1">
      <c r="A117" s="1786"/>
      <c r="B117" s="1786"/>
      <c r="C117" s="375" t="s">
        <v>1199</v>
      </c>
      <c r="D117" s="2468"/>
      <c r="E117" s="2210"/>
      <c r="F117" s="2389"/>
      <c r="G117" s="406"/>
      <c r="H117" s="1506"/>
      <c r="I117" s="657"/>
      <c r="J117" s="577"/>
      <c r="K117" s="1506"/>
      <c r="L117" s="220"/>
      <c r="M117" s="347"/>
      <c r="N117" s="340"/>
      <c r="O117" s="1630"/>
      <c r="P117" s="1630"/>
      <c r="AH117" s="1637">
        <v>0</v>
      </c>
    </row>
    <row s="1641" customFormat="1" customHeight="1" ht="18.75" hidden="1">
      <c r="A118" s="1786" t="s">
        <v>225</v>
      </c>
      <c r="B118" s="1786" t="s">
        <v>226</v>
      </c>
      <c r="C118" s="375"/>
      <c r="D118" s="2468"/>
      <c r="E118" s="2210"/>
      <c r="F118" s="2389" t="str">
        <f>INDEX(PT_DIFFERENTIATION_VTAR,MATCH(A118,PT_DIFFERENTIATION_VTAR_ID,0))</f>
        <v>Тариф на питьевую воду (питьевое водоснабжение)</v>
      </c>
      <c r="G118" s="2433" t="str">
        <f>INDEX(PT_DIFFERENTIATION_NTAR,MATCH(B118,PT_DIFFERENTIATION_NTAR_ID,0))</f>
        <v/>
      </c>
      <c r="H118" s="1868"/>
      <c r="I118" s="1745"/>
      <c r="J118" s="1779"/>
      <c r="K118" s="1784"/>
      <c r="L118" s="1868" t="s">
        <v>322</v>
      </c>
      <c r="M118" s="347"/>
      <c r="N118" s="340"/>
      <c r="O118" s="1630"/>
      <c r="P118" s="1630"/>
      <c r="AH118" s="1637">
        <v>0</v>
      </c>
    </row>
    <row s="1641" customFormat="1" customHeight="1" ht="18.75" hidden="1">
      <c r="A119" s="1786"/>
      <c r="B119" s="1786"/>
      <c r="C119" s="375" t="s">
        <v>1192</v>
      </c>
      <c r="D119" s="2468"/>
      <c r="E119" s="2210"/>
      <c r="F119" s="2389"/>
      <c r="G119" s="2433"/>
      <c r="H119" s="1506"/>
      <c r="I119" s="657" t="s">
        <v>1191</v>
      </c>
      <c r="J119" s="577"/>
      <c r="K119" s="1506"/>
      <c r="L119" s="220"/>
      <c r="M119" s="347"/>
      <c r="N119" s="340"/>
      <c r="O119" s="1630"/>
      <c r="P119" s="1630"/>
      <c r="AH119" s="1637">
        <v>0</v>
      </c>
    </row>
    <row s="1641" customFormat="1" customHeight="1" ht="0.75" hidden="1">
      <c r="A120" s="1786"/>
      <c r="B120" s="1786"/>
      <c r="C120" s="375" t="s">
        <v>1199</v>
      </c>
      <c r="D120" s="2468"/>
      <c r="E120" s="2210"/>
      <c r="F120" s="2389"/>
      <c r="G120" s="406"/>
      <c r="H120" s="1506"/>
      <c r="I120" s="657"/>
      <c r="J120" s="577"/>
      <c r="K120" s="1506"/>
      <c r="L120" s="220"/>
      <c r="M120" s="347"/>
      <c r="N120" s="340"/>
      <c r="O120" s="1630"/>
      <c r="P120" s="1630"/>
      <c r="AH120" s="1637">
        <v>0</v>
      </c>
    </row>
    <row s="1641" customFormat="1" customHeight="1" ht="18.75" hidden="1">
      <c r="A121" s="1786" t="s">
        <v>230</v>
      </c>
      <c r="B121" s="1786" t="s">
        <v>231</v>
      </c>
      <c r="C121" s="375"/>
      <c r="D121" s="2468"/>
      <c r="E121" s="2210"/>
      <c r="F121" s="2389" t="str">
        <f>INDEX(PT_DIFFERENTIATION_VTAR,MATCH(A121,PT_DIFFERENTIATION_VTAR_ID,0))</f>
        <v>Тариф на техническую воду</v>
      </c>
      <c r="G121" s="2433" t="str">
        <f>INDEX(PT_DIFFERENTIATION_NTAR,MATCH(B121,PT_DIFFERENTIATION_NTAR_ID,0))</f>
        <v/>
      </c>
      <c r="H121" s="1868"/>
      <c r="I121" s="1745"/>
      <c r="J121" s="1779"/>
      <c r="K121" s="1784"/>
      <c r="L121" s="1868" t="s">
        <v>322</v>
      </c>
      <c r="M121" s="347"/>
      <c r="N121" s="340"/>
      <c r="O121" s="1630"/>
      <c r="P121" s="1630"/>
      <c r="AH121" s="1637">
        <v>0</v>
      </c>
    </row>
    <row s="1641" customFormat="1" customHeight="1" ht="18.75" hidden="1">
      <c r="A122" s="1786"/>
      <c r="B122" s="1786"/>
      <c r="C122" s="375" t="s">
        <v>1192</v>
      </c>
      <c r="D122" s="2468"/>
      <c r="E122" s="2210"/>
      <c r="F122" s="2389"/>
      <c r="G122" s="2433"/>
      <c r="H122" s="1506"/>
      <c r="I122" s="657" t="s">
        <v>1191</v>
      </c>
      <c r="J122" s="577"/>
      <c r="K122" s="1506"/>
      <c r="L122" s="220"/>
      <c r="M122" s="347"/>
      <c r="N122" s="340"/>
      <c r="O122" s="1630"/>
      <c r="P122" s="1630"/>
      <c r="AH122" s="1637">
        <v>0</v>
      </c>
    </row>
    <row s="1641" customFormat="1" customHeight="1" ht="0.75" hidden="1">
      <c r="A123" s="1786"/>
      <c r="B123" s="1786"/>
      <c r="C123" s="375" t="s">
        <v>1199</v>
      </c>
      <c r="D123" s="2468"/>
      <c r="E123" s="2210"/>
      <c r="F123" s="2389"/>
      <c r="G123" s="406"/>
      <c r="H123" s="1506"/>
      <c r="I123" s="657"/>
      <c r="J123" s="577"/>
      <c r="K123" s="1506"/>
      <c r="L123" s="220"/>
      <c r="M123" s="347"/>
      <c r="N123" s="340"/>
      <c r="O123" s="1630"/>
      <c r="P123" s="1630"/>
      <c r="AH123" s="1637">
        <v>0</v>
      </c>
    </row>
    <row s="1641" customFormat="1" customHeight="1" ht="18.75" hidden="1">
      <c r="A124" s="1786" t="s">
        <v>235</v>
      </c>
      <c r="B124" s="1786" t="s">
        <v>236</v>
      </c>
      <c r="C124" s="375"/>
      <c r="D124" s="2468"/>
      <c r="E124" s="2210"/>
      <c r="F124" s="2389" t="str">
        <f>INDEX(PT_DIFFERENTIATION_VTAR,MATCH(A124,PT_DIFFERENTIATION_VTAR_ID,0))</f>
        <v>Тариф на транспортировку воды</v>
      </c>
      <c r="G124" s="2433" t="str">
        <f>INDEX(PT_DIFFERENTIATION_NTAR,MATCH(B124,PT_DIFFERENTIATION_NTAR_ID,0))</f>
        <v/>
      </c>
      <c r="H124" s="1868"/>
      <c r="I124" s="1745"/>
      <c r="J124" s="1779"/>
      <c r="K124" s="1784"/>
      <c r="L124" s="1868" t="s">
        <v>322</v>
      </c>
      <c r="M124" s="347"/>
      <c r="N124" s="340"/>
      <c r="O124" s="1630"/>
      <c r="P124" s="1630"/>
      <c r="AH124" s="1637">
        <v>0</v>
      </c>
    </row>
    <row s="1641" customFormat="1" customHeight="1" ht="18.75" hidden="1">
      <c r="A125" s="1786"/>
      <c r="B125" s="1786"/>
      <c r="C125" s="375" t="s">
        <v>1192</v>
      </c>
      <c r="D125" s="2468"/>
      <c r="E125" s="2210"/>
      <c r="F125" s="2389"/>
      <c r="G125" s="2433"/>
      <c r="H125" s="1506"/>
      <c r="I125" s="657" t="s">
        <v>1191</v>
      </c>
      <c r="J125" s="577"/>
      <c r="K125" s="1506"/>
      <c r="L125" s="220"/>
      <c r="M125" s="347"/>
      <c r="N125" s="340"/>
      <c r="O125" s="1630"/>
      <c r="P125" s="1630"/>
      <c r="AH125" s="1637">
        <v>0</v>
      </c>
    </row>
    <row s="1641" customFormat="1" customHeight="1" ht="0.75" hidden="1">
      <c r="A126" s="1786"/>
      <c r="B126" s="1786"/>
      <c r="C126" s="375" t="s">
        <v>1199</v>
      </c>
      <c r="D126" s="2468"/>
      <c r="E126" s="2210"/>
      <c r="F126" s="2389"/>
      <c r="G126" s="406"/>
      <c r="H126" s="1506"/>
      <c r="I126" s="657"/>
      <c r="J126" s="577"/>
      <c r="K126" s="1506"/>
      <c r="L126" s="220"/>
      <c r="M126" s="347"/>
      <c r="N126" s="340"/>
      <c r="O126" s="1630"/>
      <c r="P126" s="1630"/>
      <c r="AH126" s="1637">
        <v>0</v>
      </c>
    </row>
    <row s="1641" customFormat="1" customHeight="1" ht="18.75" hidden="1">
      <c r="A127" s="1786" t="s">
        <v>240</v>
      </c>
      <c r="B127" s="1786" t="s">
        <v>241</v>
      </c>
      <c r="C127" s="375"/>
      <c r="D127" s="2468"/>
      <c r="E127" s="2210"/>
      <c r="F127" s="2389" t="str">
        <f>INDEX(PT_DIFFERENTIATION_VTAR,MATCH(A127,PT_DIFFERENTIATION_VTAR_ID,0))</f>
        <v>Тариф на подвоз воды</v>
      </c>
      <c r="G127" s="2433" t="str">
        <f>INDEX(PT_DIFFERENTIATION_NTAR,MATCH(B127,PT_DIFFERENTIATION_NTAR_ID,0))</f>
        <v/>
      </c>
      <c r="H127" s="1868"/>
      <c r="I127" s="1745"/>
      <c r="J127" s="1779"/>
      <c r="K127" s="1784"/>
      <c r="L127" s="1868" t="s">
        <v>322</v>
      </c>
      <c r="M127" s="347"/>
      <c r="N127" s="340"/>
      <c r="O127" s="1630"/>
      <c r="P127" s="1630"/>
      <c r="AH127" s="1637">
        <v>0</v>
      </c>
    </row>
    <row s="1641" customFormat="1" customHeight="1" ht="18.75" hidden="1">
      <c r="A128" s="1786"/>
      <c r="B128" s="1786"/>
      <c r="C128" s="375" t="s">
        <v>1192</v>
      </c>
      <c r="D128" s="2468"/>
      <c r="E128" s="2210"/>
      <c r="F128" s="2389"/>
      <c r="G128" s="2433"/>
      <c r="H128" s="1506"/>
      <c r="I128" s="657" t="s">
        <v>1191</v>
      </c>
      <c r="J128" s="577"/>
      <c r="K128" s="1506"/>
      <c r="L128" s="220"/>
      <c r="M128" s="347"/>
      <c r="N128" s="340"/>
      <c r="O128" s="1630"/>
      <c r="P128" s="1630"/>
      <c r="AH128" s="1637">
        <v>0</v>
      </c>
    </row>
    <row s="1641" customFormat="1" customHeight="1" ht="0.75" hidden="1">
      <c r="A129" s="1786"/>
      <c r="B129" s="1786"/>
      <c r="C129" s="375" t="s">
        <v>1199</v>
      </c>
      <c r="D129" s="2468"/>
      <c r="E129" s="2210"/>
      <c r="F129" s="2389"/>
      <c r="G129" s="406"/>
      <c r="H129" s="1506"/>
      <c r="I129" s="657"/>
      <c r="J129" s="577"/>
      <c r="K129" s="1506"/>
      <c r="L129" s="220"/>
      <c r="M129" s="347"/>
      <c r="N129" s="340"/>
      <c r="O129" s="1630"/>
      <c r="P129" s="1630"/>
      <c r="AH129" s="1637">
        <v>0</v>
      </c>
    </row>
    <row s="1641" customFormat="1" customHeight="1" ht="18.75" hidden="1">
      <c r="A130" s="1786" t="s">
        <v>247</v>
      </c>
      <c r="B130" s="1786" t="s">
        <v>248</v>
      </c>
      <c r="C130" s="375"/>
      <c r="D130" s="2468"/>
      <c r="E130" s="2210"/>
      <c r="F130" s="2389"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433" t="str">
        <f>INDEX(PT_DIFFERENTIATION_NTAR,MATCH(B130,PT_DIFFERENTIATION_NTAR_ID,0))</f>
        <v>Ставка тарифа на подключаемую нагрузку к централизованной системе холодного водоснабжения АО "ДГК" СП "Нерюнгринская ГРЭС" на 2026 год </v>
      </c>
      <c r="H130" s="1868"/>
      <c r="I130" s="1745"/>
      <c r="J130" s="1779"/>
      <c r="K130" s="1784"/>
      <c r="L130" s="1868" t="s">
        <v>322</v>
      </c>
      <c r="M130" s="347"/>
      <c r="N130" s="340"/>
      <c r="O130" s="1630"/>
      <c r="P130" s="1630"/>
      <c r="AH130" s="1637">
        <v>0</v>
      </c>
    </row>
    <row s="1641" customFormat="1" customHeight="1" ht="18.75" hidden="1">
      <c r="A131" s="1786"/>
      <c r="B131" s="1786"/>
      <c r="C131" s="375" t="s">
        <v>1192</v>
      </c>
      <c r="D131" s="2468"/>
      <c r="E131" s="2210"/>
      <c r="F131" s="2389"/>
      <c r="G131" s="2433"/>
      <c r="H131" s="1506"/>
      <c r="I131" s="657" t="s">
        <v>1191</v>
      </c>
      <c r="J131" s="577"/>
      <c r="K131" s="1506"/>
      <c r="L131" s="220"/>
      <c r="M131" s="347"/>
      <c r="N131" s="340"/>
      <c r="O131" s="1630"/>
      <c r="P131" s="1630"/>
      <c r="AH131" s="1637">
        <v>0</v>
      </c>
    </row>
    <row s="1641" customFormat="1" customHeight="1" ht="18.75">
      <c r="A132" s="1829" t="s">
        <v>247</v>
      </c>
      <c r="B132" s="1829" t="s">
        <v>255</v>
      </c>
      <c r="C132" s="1693"/>
      <c r="D132" s="350"/>
      <c r="E132" s="1037"/>
      <c r="F132" s="1037"/>
      <c r="G132" s="2433" t="str">
        <f>INDEX(PT_DIFFERENTIATION_NTAR,MATCH(B132,PT_DIFFERENTIATION_NTAR_ID,0))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(без учета расходов на благоустройство)</v>
      </c>
      <c r="H132" s="2277"/>
      <c r="I132" s="1745"/>
      <c r="J132" s="1779"/>
      <c r="K132" s="1784"/>
      <c r="L132" s="2277" t="s">
        <v>322</v>
      </c>
      <c r="M132" s="2324"/>
      <c r="N132" s="624"/>
      <c r="O132" s="1630"/>
      <c r="P132" s="1630"/>
      <c r="Q132" s="1641"/>
      <c r="R132" s="1641"/>
      <c r="S132" s="1641"/>
      <c r="T132" s="1641"/>
      <c r="U132" s="1641"/>
      <c r="V132" s="1641"/>
      <c r="W132" s="1641"/>
      <c r="X132" s="1641"/>
      <c r="Y132" s="1641"/>
      <c r="Z132" s="1641"/>
      <c r="AA132" s="1641"/>
      <c r="AB132" s="1641"/>
      <c r="AC132" s="1641"/>
      <c r="AD132" s="1641"/>
      <c r="AE132" s="1641"/>
      <c r="AF132" s="1641"/>
      <c r="AG132" s="1641"/>
      <c r="AH132" s="1641">
        <v>0</v>
      </c>
    </row>
    <row s="1641" customFormat="1" customHeight="1" ht="18.75">
      <c r="A133" s="1829"/>
      <c r="B133" s="1829"/>
      <c r="C133" s="1693" t="s">
        <v>1192</v>
      </c>
      <c r="D133" s="350"/>
      <c r="E133" s="1037"/>
      <c r="F133" s="1037"/>
      <c r="G133" s="2433"/>
      <c r="H133" s="3078"/>
      <c r="I133" s="3079" t="s">
        <v>1191</v>
      </c>
      <c r="J133" s="3080"/>
      <c r="K133" s="3081"/>
      <c r="L133" s="3082"/>
      <c r="M133" s="2324"/>
      <c r="N133" s="624"/>
      <c r="O133" s="1630"/>
      <c r="P133" s="1630"/>
      <c r="Q133" s="1641"/>
      <c r="R133" s="1641"/>
      <c r="S133" s="1641"/>
      <c r="T133" s="1641"/>
      <c r="U133" s="1641"/>
      <c r="V133" s="1641"/>
      <c r="W133" s="1641"/>
      <c r="X133" s="1641"/>
      <c r="Y133" s="1641"/>
      <c r="Z133" s="1641"/>
      <c r="AA133" s="1641"/>
      <c r="AB133" s="1641"/>
      <c r="AC133" s="1641"/>
      <c r="AD133" s="1641"/>
      <c r="AE133" s="1641"/>
      <c r="AF133" s="1641"/>
      <c r="AG133" s="1641"/>
      <c r="AH133" s="1641">
        <v>0</v>
      </c>
    </row>
    <row s="1641" customFormat="1" customHeight="1" ht="18.75">
      <c r="A134" s="1829" t="s">
        <v>247</v>
      </c>
      <c r="B134" s="1829" t="s">
        <v>260</v>
      </c>
      <c r="C134" s="1693"/>
      <c r="D134" s="350"/>
      <c r="E134" s="1037"/>
      <c r="F134" s="1037"/>
      <c r="G134" s="2433" t="str">
        <f>INDEX(PT_DIFFERENTIATION_NTAR,MATCH(B134,PT_DIFFERENTIATION_NTAR_ID,0))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(с учетом расходов на благоустройство)</v>
      </c>
      <c r="H134" s="2277"/>
      <c r="I134" s="1745"/>
      <c r="J134" s="1779"/>
      <c r="K134" s="1784"/>
      <c r="L134" s="2277" t="s">
        <v>322</v>
      </c>
      <c r="M134" s="2324"/>
      <c r="N134" s="624"/>
      <c r="O134" s="1630"/>
      <c r="P134" s="1630"/>
      <c r="Q134" s="1641"/>
      <c r="R134" s="1641"/>
      <c r="S134" s="1641"/>
      <c r="T134" s="1641"/>
      <c r="U134" s="1641"/>
      <c r="V134" s="1641"/>
      <c r="W134" s="1641"/>
      <c r="X134" s="1641"/>
      <c r="Y134" s="1641"/>
      <c r="Z134" s="1641"/>
      <c r="AA134" s="1641"/>
      <c r="AB134" s="1641"/>
      <c r="AC134" s="1641"/>
      <c r="AD134" s="1641"/>
      <c r="AE134" s="1641"/>
      <c r="AF134" s="1641"/>
      <c r="AG134" s="1641"/>
      <c r="AH134" s="1641">
        <v>0</v>
      </c>
    </row>
    <row s="1641" customFormat="1" customHeight="1" ht="18.75">
      <c r="A135" s="1829"/>
      <c r="B135" s="1829"/>
      <c r="C135" s="1693" t="s">
        <v>1192</v>
      </c>
      <c r="D135" s="350"/>
      <c r="E135" s="1037"/>
      <c r="F135" s="1037"/>
      <c r="G135" s="2433"/>
      <c r="H135" s="3083"/>
      <c r="I135" s="3084" t="s">
        <v>1191</v>
      </c>
      <c r="J135" s="3085"/>
      <c r="K135" s="3086"/>
      <c r="L135" s="3087"/>
      <c r="M135" s="2324"/>
      <c r="N135" s="624"/>
      <c r="O135" s="1630"/>
      <c r="P135" s="1630"/>
      <c r="Q135" s="1641"/>
      <c r="R135" s="1641"/>
      <c r="S135" s="1641"/>
      <c r="T135" s="1641"/>
      <c r="U135" s="1641"/>
      <c r="V135" s="1641"/>
      <c r="W135" s="1641"/>
      <c r="X135" s="1641"/>
      <c r="Y135" s="1641"/>
      <c r="Z135" s="1641"/>
      <c r="AA135" s="1641"/>
      <c r="AB135" s="1641"/>
      <c r="AC135" s="1641"/>
      <c r="AD135" s="1641"/>
      <c r="AE135" s="1641"/>
      <c r="AF135" s="1641"/>
      <c r="AG135" s="1641"/>
      <c r="AH135" s="1641">
        <v>0</v>
      </c>
    </row>
    <row s="1641" customFormat="1" customHeight="1" ht="0.75" hidden="1">
      <c r="A136" s="1786"/>
      <c r="B136" s="1786"/>
      <c r="C136" s="375" t="s">
        <v>1199</v>
      </c>
      <c r="D136" s="2468"/>
      <c r="E136" s="2210"/>
      <c r="F136" s="2389"/>
      <c r="G136" s="406"/>
      <c r="H136" s="1506"/>
      <c r="I136" s="657"/>
      <c r="J136" s="577"/>
      <c r="K136" s="1506"/>
      <c r="L136" s="220"/>
      <c r="M136" s="347"/>
      <c r="N136" s="340"/>
      <c r="O136" s="1630"/>
      <c r="P136" s="1630"/>
      <c r="AH136" s="1637">
        <v>0</v>
      </c>
    </row>
    <row s="1641" customFormat="1" customHeight="1" ht="18.75" hidden="1">
      <c r="A137" s="1786" t="s">
        <v>266</v>
      </c>
      <c r="B137" s="1786" t="s">
        <v>267</v>
      </c>
      <c r="C137" s="375"/>
      <c r="D137" s="2468"/>
      <c r="E137" s="2210"/>
      <c r="F137" s="2389" t="str">
        <f>INDEX(PT_DIFFERENTIATION_VTAR,MATCH(A137,PT_DIFFERENTIATION_VTAR_ID,0))</f>
        <v>Тариф на горячую воду (горячее водоснабжение)</v>
      </c>
      <c r="G137" s="2433" t="str">
        <f>INDEX(PT_DIFFERENTIATION_NTAR,MATCH(B137,PT_DIFFERENTIATION_NTAR_ID,0))</f>
        <v/>
      </c>
      <c r="H137" s="1868"/>
      <c r="I137" s="1745"/>
      <c r="J137" s="1779"/>
      <c r="K137" s="1784"/>
      <c r="L137" s="1868" t="s">
        <v>322</v>
      </c>
      <c r="M137" s="347"/>
      <c r="N137" s="340"/>
      <c r="O137" s="1630"/>
      <c r="P137" s="1630"/>
      <c r="AH137" s="1637">
        <v>0</v>
      </c>
    </row>
    <row s="1641" customFormat="1" customHeight="1" ht="18.75" hidden="1">
      <c r="A138" s="1786"/>
      <c r="B138" s="1786"/>
      <c r="C138" s="375" t="s">
        <v>1192</v>
      </c>
      <c r="D138" s="2468"/>
      <c r="E138" s="2210"/>
      <c r="F138" s="2389"/>
      <c r="G138" s="2433"/>
      <c r="H138" s="1506"/>
      <c r="I138" s="657" t="s">
        <v>1191</v>
      </c>
      <c r="J138" s="577"/>
      <c r="K138" s="1506"/>
      <c r="L138" s="220"/>
      <c r="M138" s="347"/>
      <c r="N138" s="340"/>
      <c r="O138" s="1630"/>
      <c r="P138" s="1630"/>
      <c r="AH138" s="1637">
        <v>0</v>
      </c>
    </row>
    <row s="1641" customFormat="1" customHeight="1" ht="0.75" hidden="1">
      <c r="A139" s="1786"/>
      <c r="B139" s="1786"/>
      <c r="C139" s="375" t="s">
        <v>1199</v>
      </c>
      <c r="D139" s="2468"/>
      <c r="E139" s="2210"/>
      <c r="F139" s="2389"/>
      <c r="G139" s="406"/>
      <c r="H139" s="1506"/>
      <c r="I139" s="657"/>
      <c r="J139" s="577"/>
      <c r="K139" s="1506"/>
      <c r="L139" s="220"/>
      <c r="M139" s="347"/>
      <c r="N139" s="340"/>
      <c r="O139" s="1630"/>
      <c r="P139" s="1630"/>
      <c r="AH139" s="1637">
        <v>0</v>
      </c>
    </row>
    <row s="1641" customFormat="1" customHeight="1" ht="18.75" hidden="1">
      <c r="A140" s="1786" t="s">
        <v>271</v>
      </c>
      <c r="B140" s="1786" t="s">
        <v>272</v>
      </c>
      <c r="C140" s="375"/>
      <c r="D140" s="2468"/>
      <c r="E140" s="2210"/>
      <c r="F140" s="2389" t="str">
        <f>INDEX(PT_DIFFERENTIATION_VTAR,MATCH(A140,PT_DIFFERENTIATION_VTAR_ID,0))</f>
        <v>Тариф на транспортировку горячей воды</v>
      </c>
      <c r="G140" s="2433" t="str">
        <f>INDEX(PT_DIFFERENTIATION_NTAR,MATCH(B140,PT_DIFFERENTIATION_NTAR_ID,0))</f>
        <v/>
      </c>
      <c r="H140" s="1868"/>
      <c r="I140" s="1745"/>
      <c r="J140" s="1779"/>
      <c r="K140" s="1784"/>
      <c r="L140" s="1868" t="s">
        <v>322</v>
      </c>
      <c r="M140" s="347"/>
      <c r="N140" s="340"/>
      <c r="O140" s="1630"/>
      <c r="P140" s="1630"/>
      <c r="AH140" s="1637">
        <v>0</v>
      </c>
    </row>
    <row s="1641" customFormat="1" customHeight="1" ht="18.75" hidden="1">
      <c r="A141" s="1786"/>
      <c r="B141" s="1786"/>
      <c r="C141" s="375" t="s">
        <v>1192</v>
      </c>
      <c r="D141" s="2468"/>
      <c r="E141" s="2210"/>
      <c r="F141" s="2389"/>
      <c r="G141" s="2433"/>
      <c r="H141" s="1506"/>
      <c r="I141" s="657" t="s">
        <v>1191</v>
      </c>
      <c r="J141" s="577"/>
      <c r="K141" s="1506"/>
      <c r="L141" s="220"/>
      <c r="M141" s="347"/>
      <c r="N141" s="340"/>
      <c r="O141" s="1630"/>
      <c r="P141" s="1630"/>
      <c r="AH141" s="1637">
        <v>0</v>
      </c>
    </row>
    <row s="1641" customFormat="1" customHeight="1" ht="0.75" hidden="1">
      <c r="A142" s="1786"/>
      <c r="B142" s="1786"/>
      <c r="C142" s="375" t="s">
        <v>1199</v>
      </c>
      <c r="D142" s="2468"/>
      <c r="E142" s="2210"/>
      <c r="F142" s="2389"/>
      <c r="G142" s="406"/>
      <c r="H142" s="1506"/>
      <c r="I142" s="657"/>
      <c r="J142" s="577"/>
      <c r="K142" s="1506"/>
      <c r="L142" s="220"/>
      <c r="M142" s="347"/>
      <c r="N142" s="340"/>
      <c r="O142" s="1630"/>
      <c r="P142" s="1630"/>
      <c r="AH142" s="1637">
        <v>0</v>
      </c>
    </row>
    <row s="1641" customFormat="1" customHeight="1" ht="18.75" hidden="1">
      <c r="A143" s="1786" t="s">
        <v>276</v>
      </c>
      <c r="B143" s="1786" t="s">
        <v>277</v>
      </c>
      <c r="C143" s="375"/>
      <c r="D143" s="2468"/>
      <c r="E143" s="2210"/>
      <c r="F143" s="2389" t="str">
        <f>INDEX(PT_DIFFERENTIATION_VTAR,MATCH(A143,PT_DIFFERENTIATION_VTAR_ID,0))</f>
        <v>Тариф на подключение (технологическое присоединение) к централизованной системе горячего водоснабжения</v>
      </c>
      <c r="G143" s="2433" t="str">
        <f>INDEX(PT_DIFFERENTIATION_NTAR,MATCH(B143,PT_DIFFERENTIATION_NTAR_ID,0))</f>
        <v/>
      </c>
      <c r="H143" s="1868"/>
      <c r="I143" s="1745"/>
      <c r="J143" s="1779"/>
      <c r="K143" s="1784"/>
      <c r="L143" s="1868" t="s">
        <v>322</v>
      </c>
      <c r="M143" s="347"/>
      <c r="N143" s="340"/>
      <c r="O143" s="1630"/>
      <c r="P143" s="1630"/>
      <c r="AH143" s="1637">
        <v>0</v>
      </c>
    </row>
    <row s="1641" customFormat="1" customHeight="1" ht="18.75" hidden="1">
      <c r="A144" s="1786"/>
      <c r="B144" s="1786"/>
      <c r="C144" s="375" t="s">
        <v>1192</v>
      </c>
      <c r="D144" s="2468"/>
      <c r="E144" s="2210"/>
      <c r="F144" s="2389"/>
      <c r="G144" s="2433"/>
      <c r="H144" s="1506"/>
      <c r="I144" s="657" t="s">
        <v>1191</v>
      </c>
      <c r="J144" s="577"/>
      <c r="K144" s="1506"/>
      <c r="L144" s="220"/>
      <c r="M144" s="347"/>
      <c r="N144" s="340"/>
      <c r="O144" s="1630"/>
      <c r="P144" s="1630"/>
      <c r="AH144" s="1637">
        <v>0</v>
      </c>
    </row>
    <row s="1641" customFormat="1" customHeight="1" ht="0.75" hidden="1">
      <c r="A145" s="1786"/>
      <c r="B145" s="1786"/>
      <c r="C145" s="375" t="s">
        <v>1199</v>
      </c>
      <c r="D145" s="2468"/>
      <c r="E145" s="2210"/>
      <c r="F145" s="2389"/>
      <c r="G145" s="406"/>
      <c r="H145" s="1506"/>
      <c r="I145" s="657"/>
      <c r="J145" s="577"/>
      <c r="K145" s="1506"/>
      <c r="L145" s="220"/>
      <c r="M145" s="347"/>
      <c r="N145" s="340"/>
      <c r="O145" s="1630"/>
      <c r="P145" s="1630"/>
      <c r="AH145" s="1637">
        <v>0</v>
      </c>
    </row>
    <row s="1641" customFormat="1" customHeight="1" ht="18.75" hidden="1">
      <c r="A146" s="1786" t="s">
        <v>281</v>
      </c>
      <c r="B146" s="1786" t="s">
        <v>282</v>
      </c>
      <c r="C146" s="375"/>
      <c r="D146" s="2468"/>
      <c r="E146" s="2210"/>
      <c r="F146" s="2389" t="str">
        <f>INDEX(PT_DIFFERENTIATION_VTAR,MATCH(A146,PT_DIFFERENTIATION_VTAR_ID,0))</f>
        <v>Тариф на водоотведение</v>
      </c>
      <c r="G146" s="2433" t="str">
        <f>INDEX(PT_DIFFERENTIATION_NTAR,MATCH(B146,PT_DIFFERENTIATION_NTAR_ID,0))</f>
        <v/>
      </c>
      <c r="H146" s="1868"/>
      <c r="I146" s="1745"/>
      <c r="J146" s="1779"/>
      <c r="K146" s="1784"/>
      <c r="L146" s="1868" t="s">
        <v>322</v>
      </c>
      <c r="M146" s="347"/>
      <c r="N146" s="340"/>
      <c r="O146" s="1630"/>
      <c r="P146" s="1630"/>
      <c r="AH146" s="1637">
        <v>0</v>
      </c>
    </row>
    <row s="1641" customFormat="1" customHeight="1" ht="18.75" hidden="1">
      <c r="A147" s="1786"/>
      <c r="B147" s="1786"/>
      <c r="C147" s="375" t="s">
        <v>1192</v>
      </c>
      <c r="D147" s="2468"/>
      <c r="E147" s="2210"/>
      <c r="F147" s="2389"/>
      <c r="G147" s="2433"/>
      <c r="H147" s="1506"/>
      <c r="I147" s="657" t="s">
        <v>1191</v>
      </c>
      <c r="J147" s="577"/>
      <c r="K147" s="1506"/>
      <c r="L147" s="220"/>
      <c r="M147" s="347"/>
      <c r="N147" s="340"/>
      <c r="O147" s="1630"/>
      <c r="P147" s="1630"/>
      <c r="AH147" s="1637">
        <v>0</v>
      </c>
    </row>
    <row s="1641" customFormat="1" customHeight="1" ht="0.75" hidden="1">
      <c r="A148" s="1786"/>
      <c r="B148" s="1786"/>
      <c r="C148" s="375" t="s">
        <v>1199</v>
      </c>
      <c r="D148" s="2468"/>
      <c r="E148" s="2210"/>
      <c r="F148" s="2389"/>
      <c r="G148" s="406"/>
      <c r="H148" s="1506"/>
      <c r="I148" s="657"/>
      <c r="J148" s="577"/>
      <c r="K148" s="1506"/>
      <c r="L148" s="220"/>
      <c r="M148" s="347"/>
      <c r="N148" s="340"/>
      <c r="O148" s="1630"/>
      <c r="P148" s="1630"/>
      <c r="AH148" s="1637">
        <v>0</v>
      </c>
    </row>
    <row s="1641" customFormat="1" customHeight="1" ht="18.75" hidden="1">
      <c r="A149" s="1786" t="s">
        <v>286</v>
      </c>
      <c r="B149" s="1786" t="s">
        <v>287</v>
      </c>
      <c r="C149" s="375"/>
      <c r="D149" s="2468"/>
      <c r="E149" s="2210"/>
      <c r="F149" s="2389" t="str">
        <f>INDEX(PT_DIFFERENTIATION_VTAR,MATCH(A149,PT_DIFFERENTIATION_VTAR_ID,0))</f>
        <v>Тариф на транспортировку сточных вод</v>
      </c>
      <c r="G149" s="2433" t="str">
        <f>INDEX(PT_DIFFERENTIATION_NTAR,MATCH(B149,PT_DIFFERENTIATION_NTAR_ID,0))</f>
        <v/>
      </c>
      <c r="H149" s="1868"/>
      <c r="I149" s="1745"/>
      <c r="J149" s="1779"/>
      <c r="K149" s="1784"/>
      <c r="L149" s="1868" t="s">
        <v>322</v>
      </c>
      <c r="M149" s="347"/>
      <c r="N149" s="340"/>
      <c r="O149" s="1630"/>
      <c r="P149" s="1630"/>
      <c r="AH149" s="1637">
        <v>0</v>
      </c>
    </row>
    <row s="1641" customFormat="1" customHeight="1" ht="18.75" hidden="1">
      <c r="A150" s="1786"/>
      <c r="B150" s="1786"/>
      <c r="C150" s="375" t="s">
        <v>1192</v>
      </c>
      <c r="D150" s="2468"/>
      <c r="E150" s="2210"/>
      <c r="F150" s="2389"/>
      <c r="G150" s="2433"/>
      <c r="H150" s="1506"/>
      <c r="I150" s="657" t="s">
        <v>1191</v>
      </c>
      <c r="J150" s="577"/>
      <c r="K150" s="1506"/>
      <c r="L150" s="220"/>
      <c r="M150" s="347"/>
      <c r="N150" s="340"/>
      <c r="O150" s="1630"/>
      <c r="P150" s="1630"/>
      <c r="AH150" s="1637">
        <v>0</v>
      </c>
    </row>
    <row s="1641" customFormat="1" customHeight="1" ht="0.75" hidden="1">
      <c r="A151" s="1786"/>
      <c r="B151" s="1786"/>
      <c r="C151" s="375" t="s">
        <v>1199</v>
      </c>
      <c r="D151" s="2468"/>
      <c r="E151" s="2210"/>
      <c r="F151" s="2389"/>
      <c r="G151" s="406"/>
      <c r="H151" s="1506"/>
      <c r="I151" s="657"/>
      <c r="J151" s="577"/>
      <c r="K151" s="1506"/>
      <c r="L151" s="220"/>
      <c r="M151" s="347"/>
      <c r="N151" s="340"/>
      <c r="O151" s="1630"/>
      <c r="P151" s="1630"/>
      <c r="AH151" s="1637">
        <v>0</v>
      </c>
    </row>
    <row s="1641" customFormat="1" customHeight="1" ht="18.75" hidden="1">
      <c r="A152" s="1786" t="s">
        <v>291</v>
      </c>
      <c r="B152" s="1786" t="s">
        <v>292</v>
      </c>
      <c r="C152" s="375"/>
      <c r="D152" s="2468"/>
      <c r="E152" s="2210"/>
      <c r="F152" s="2389" t="str">
        <f>INDEX(PT_DIFFERENTIATION_VTAR,MATCH(A152,PT_DIFFERENTIATION_VTAR_ID,0))</f>
        <v>Тариф на подключение (технологическое присоединение) к централизованной системе водоотведения</v>
      </c>
      <c r="G152" s="2433" t="str">
        <f>INDEX(PT_DIFFERENTIATION_NTAR,MATCH(B152,PT_DIFFERENTIATION_NTAR_ID,0))</f>
        <v/>
      </c>
      <c r="H152" s="1868"/>
      <c r="I152" s="1745"/>
      <c r="J152" s="1779"/>
      <c r="K152" s="1784"/>
      <c r="L152" s="1868" t="s">
        <v>322</v>
      </c>
      <c r="M152" s="347"/>
      <c r="N152" s="340"/>
      <c r="O152" s="1630"/>
      <c r="P152" s="1630"/>
      <c r="AH152" s="1637">
        <v>0</v>
      </c>
    </row>
    <row s="1641" customFormat="1" customHeight="1" ht="18.75" hidden="1">
      <c r="A153" s="1786"/>
      <c r="B153" s="1786"/>
      <c r="C153" s="375" t="s">
        <v>1192</v>
      </c>
      <c r="D153" s="2468"/>
      <c r="E153" s="2210"/>
      <c r="F153" s="2389"/>
      <c r="G153" s="2433"/>
      <c r="H153" s="1506"/>
      <c r="I153" s="657" t="s">
        <v>1191</v>
      </c>
      <c r="J153" s="577"/>
      <c r="K153" s="1506"/>
      <c r="L153" s="220"/>
      <c r="M153" s="347"/>
      <c r="N153" s="340"/>
      <c r="O153" s="1630"/>
      <c r="P153" s="1630"/>
      <c r="AH153" s="1637">
        <v>0</v>
      </c>
    </row>
    <row s="1641" customFormat="1" customHeight="1" ht="1.05">
      <c r="A154" s="1786"/>
      <c r="B154" s="1786"/>
      <c r="C154" s="375" t="s">
        <v>1199</v>
      </c>
      <c r="D154" s="2468"/>
      <c r="E154" s="2210"/>
      <c r="F154" s="2389"/>
      <c r="G154" s="406"/>
      <c r="H154" s="1506"/>
      <c r="I154" s="657"/>
      <c r="J154" s="577"/>
      <c r="K154" s="1506"/>
      <c r="L154" s="220"/>
      <c r="M154" s="347"/>
      <c r="N154" s="340"/>
      <c r="O154" s="1630"/>
      <c r="P154" s="1630"/>
      <c r="AH154" s="1637">
        <v>1</v>
      </c>
    </row>
    <row customHeight="1" ht="19.95">
      <c r="A155" s="1786"/>
      <c r="B155" s="1786"/>
      <c r="D155" s="382"/>
      <c r="E155" s="153" t="s">
        <v>92</v>
      </c>
      <c r="F155" s="24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5" s="2466"/>
      <c r="H155" s="2466"/>
      <c r="I155" s="2466"/>
      <c r="J155" s="2466"/>
      <c r="K155" s="2466"/>
      <c r="L155" s="2466"/>
      <c r="M155" s="303"/>
      <c r="N155" s="340"/>
      <c r="AH155" s="380">
        <v>19</v>
      </c>
    </row>
    <row s="1641" customFormat="1" customHeight="1" ht="60.75" hidden="1">
      <c r="A156" s="1786" t="s">
        <v>157</v>
      </c>
      <c r="B156" s="1786" t="s">
        <v>158</v>
      </c>
      <c r="C156" s="375"/>
      <c r="D156" s="2468"/>
      <c r="E156" s="2210"/>
      <c r="F156" s="2389"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433" t="str">
        <f>INDEX(PT_DIFFERENTIATION_NTAR,MATCH(B156,PT_DIFFERENTIATION_NTAR_ID,0))</f>
        <v/>
      </c>
      <c r="H156" s="1868"/>
      <c r="I156" s="1745"/>
      <c r="J156" s="1779"/>
      <c r="K156" s="1784"/>
      <c r="L156" s="1868" t="s">
        <v>322</v>
      </c>
      <c r="M156"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6" s="340"/>
      <c r="O156" s="1630"/>
      <c r="P156" s="1630"/>
      <c r="AH156" s="1637">
        <v>0</v>
      </c>
    </row>
    <row s="1641" customFormat="1" customHeight="1" ht="18.75" hidden="1">
      <c r="A157" s="1786"/>
      <c r="B157" s="1786"/>
      <c r="C157" s="375" t="s">
        <v>1192</v>
      </c>
      <c r="D157" s="2468"/>
      <c r="E157" s="2210"/>
      <c r="F157" s="2389"/>
      <c r="G157" s="2433"/>
      <c r="H157" s="1506"/>
      <c r="I157" s="657" t="s">
        <v>1191</v>
      </c>
      <c r="J157" s="577"/>
      <c r="K157" s="1506"/>
      <c r="L157" s="220"/>
      <c r="M157" s="2176"/>
      <c r="N157" s="340"/>
      <c r="O157" s="1630"/>
      <c r="P157" s="1630"/>
      <c r="AH157" s="1637">
        <v>0</v>
      </c>
    </row>
    <row s="1641" customFormat="1" customHeight="1" ht="0.75" hidden="1">
      <c r="A158" s="1786"/>
      <c r="B158" s="1786"/>
      <c r="C158" s="375" t="s">
        <v>1199</v>
      </c>
      <c r="D158" s="2468"/>
      <c r="E158" s="2210"/>
      <c r="F158" s="2389"/>
      <c r="G158" s="406"/>
      <c r="H158" s="1506"/>
      <c r="I158" s="657"/>
      <c r="J158" s="577"/>
      <c r="K158" s="1506"/>
      <c r="L158" s="220"/>
      <c r="M158" s="2176"/>
      <c r="N158" s="340"/>
      <c r="O158" s="1630"/>
      <c r="P158" s="1630"/>
      <c r="AH158" s="1637">
        <v>0</v>
      </c>
    </row>
    <row s="1641" customFormat="1" customHeight="1" ht="45" hidden="1">
      <c r="A159" s="1786" t="s">
        <v>162</v>
      </c>
      <c r="B159" s="1786" t="s">
        <v>163</v>
      </c>
      <c r="C159" s="375"/>
      <c r="D159" s="2468"/>
      <c r="E159" s="2210"/>
      <c r="F159" s="2389" t="str">
        <f>INDEX(PT_DIFFERENTIATION_VTAR,MATCH(A159,PT_DIFFERENTIATION_VTAR_ID,0))</f>
        <v/>
      </c>
      <c r="G159" s="2433" t="str">
        <f>INDEX(PT_DIFFERENTIATION_NTAR,MATCH(B159,PT_DIFFERENTIATION_NTAR_ID,0))</f>
        <v/>
      </c>
      <c r="H159" s="1868"/>
      <c r="I159" s="1745"/>
      <c r="J159" s="1779"/>
      <c r="K159" s="1784"/>
      <c r="L159" s="1868" t="s">
        <v>322</v>
      </c>
      <c r="M159" s="2177"/>
      <c r="N159" s="340"/>
      <c r="O159" s="1630"/>
      <c r="P159" s="1630"/>
      <c r="AH159" s="1637">
        <v>0</v>
      </c>
    </row>
    <row s="1641" customFormat="1" customHeight="1" ht="18.75" hidden="1">
      <c r="A160" s="1786"/>
      <c r="B160" s="1786"/>
      <c r="C160" s="375" t="s">
        <v>1192</v>
      </c>
      <c r="D160" s="2468"/>
      <c r="E160" s="2210"/>
      <c r="F160" s="2389"/>
      <c r="G160" s="2433"/>
      <c r="H160" s="1506"/>
      <c r="I160" s="657" t="s">
        <v>1191</v>
      </c>
      <c r="J160" s="577"/>
      <c r="K160" s="1506"/>
      <c r="L160" s="220"/>
      <c r="M160" s="1867"/>
      <c r="N160" s="340"/>
      <c r="O160" s="1630"/>
      <c r="P160" s="1630"/>
      <c r="AH160" s="1637">
        <v>0</v>
      </c>
    </row>
    <row s="1641" customFormat="1" customHeight="1" ht="0.75" hidden="1">
      <c r="A161" s="1786"/>
      <c r="B161" s="1786"/>
      <c r="C161" s="375" t="s">
        <v>1199</v>
      </c>
      <c r="D161" s="2468"/>
      <c r="E161" s="2210"/>
      <c r="F161" s="2389"/>
      <c r="G161" s="406"/>
      <c r="H161" s="1506"/>
      <c r="I161" s="657"/>
      <c r="J161" s="577"/>
      <c r="K161" s="1506"/>
      <c r="L161" s="220"/>
      <c r="M161" s="347"/>
      <c r="N161" s="340"/>
      <c r="O161" s="1630"/>
      <c r="P161" s="1630"/>
      <c r="AH161" s="1637">
        <v>0</v>
      </c>
    </row>
    <row s="1641" customFormat="1" customHeight="1" ht="45" hidden="1">
      <c r="A162" s="1786" t="s">
        <v>169</v>
      </c>
      <c r="B162" s="1786" t="s">
        <v>170</v>
      </c>
      <c r="C162" s="375"/>
      <c r="D162" s="2468"/>
      <c r="E162" s="2210"/>
      <c r="F162" s="2389"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433" t="str">
        <f>INDEX(PT_DIFFERENTIATION_NTAR,MATCH(B162,PT_DIFFERENTIATION_NTAR_ID,0))</f>
        <v/>
      </c>
      <c r="H162" s="1868"/>
      <c r="I162" s="1745"/>
      <c r="J162" s="1779"/>
      <c r="K162" s="1784"/>
      <c r="L162" s="1868" t="s">
        <v>322</v>
      </c>
      <c r="M162" s="347"/>
      <c r="N162" s="340"/>
      <c r="O162" s="1630"/>
      <c r="P162" s="1630"/>
      <c r="AH162" s="1637">
        <v>0</v>
      </c>
    </row>
    <row s="1641" customFormat="1" customHeight="1" ht="18.75" hidden="1">
      <c r="A163" s="1786"/>
      <c r="B163" s="1786"/>
      <c r="C163" s="375" t="s">
        <v>1192</v>
      </c>
      <c r="D163" s="2468"/>
      <c r="E163" s="2210"/>
      <c r="F163" s="2389"/>
      <c r="G163" s="2433"/>
      <c r="H163" s="1506"/>
      <c r="I163" s="657" t="s">
        <v>1191</v>
      </c>
      <c r="J163" s="577"/>
      <c r="K163" s="1506"/>
      <c r="L163" s="220"/>
      <c r="M163" s="347"/>
      <c r="N163" s="340"/>
      <c r="O163" s="1630"/>
      <c r="P163" s="1630"/>
      <c r="AH163" s="1637">
        <v>0</v>
      </c>
    </row>
    <row s="1641" customFormat="1" customHeight="1" ht="0.75" hidden="1">
      <c r="A164" s="1786"/>
      <c r="B164" s="1786"/>
      <c r="C164" s="375" t="s">
        <v>1199</v>
      </c>
      <c r="D164" s="2468"/>
      <c r="E164" s="2210"/>
      <c r="F164" s="2389"/>
      <c r="G164" s="406"/>
      <c r="H164" s="1506"/>
      <c r="I164" s="657"/>
      <c r="J164" s="577"/>
      <c r="K164" s="1506"/>
      <c r="L164" s="220"/>
      <c r="M164" s="347"/>
      <c r="N164" s="340"/>
      <c r="O164" s="1630"/>
      <c r="P164" s="1630"/>
      <c r="AH164" s="1637">
        <v>0</v>
      </c>
    </row>
    <row s="1641" customFormat="1" customHeight="1" ht="45" hidden="1">
      <c r="A165" s="1786" t="s">
        <v>175</v>
      </c>
      <c r="B165" s="1786" t="s">
        <v>176</v>
      </c>
      <c r="C165" s="375"/>
      <c r="D165" s="2468"/>
      <c r="E165" s="2210"/>
      <c r="F165" s="2389"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433" t="str">
        <f>INDEX(PT_DIFFERENTIATION_NTAR,MATCH(B165,PT_DIFFERENTIATION_NTAR_ID,0))</f>
        <v/>
      </c>
      <c r="H165" s="1868"/>
      <c r="I165" s="1745"/>
      <c r="J165" s="1779"/>
      <c r="K165" s="1784"/>
      <c r="L165" s="1868" t="s">
        <v>322</v>
      </c>
      <c r="M165" s="347"/>
      <c r="N165" s="340"/>
      <c r="O165" s="1630"/>
      <c r="P165" s="1630"/>
      <c r="AH165" s="1637">
        <v>0</v>
      </c>
    </row>
    <row s="1641" customFormat="1" customHeight="1" ht="18.75" hidden="1">
      <c r="A166" s="1786"/>
      <c r="B166" s="1786"/>
      <c r="C166" s="375" t="s">
        <v>1192</v>
      </c>
      <c r="D166" s="2468"/>
      <c r="E166" s="2210"/>
      <c r="F166" s="2389"/>
      <c r="G166" s="2433"/>
      <c r="H166" s="1506"/>
      <c r="I166" s="657" t="s">
        <v>1191</v>
      </c>
      <c r="J166" s="577"/>
      <c r="K166" s="1506"/>
      <c r="L166" s="220"/>
      <c r="M166" s="347"/>
      <c r="N166" s="340"/>
      <c r="O166" s="1630"/>
      <c r="P166" s="1630"/>
      <c r="AH166" s="1637">
        <v>0</v>
      </c>
    </row>
    <row s="1641" customFormat="1" customHeight="1" ht="0.75" hidden="1">
      <c r="A167" s="1786"/>
      <c r="B167" s="1786"/>
      <c r="C167" s="375" t="s">
        <v>1199</v>
      </c>
      <c r="D167" s="2468"/>
      <c r="E167" s="2210"/>
      <c r="F167" s="2389"/>
      <c r="G167" s="406"/>
      <c r="H167" s="1506"/>
      <c r="I167" s="657"/>
      <c r="J167" s="577"/>
      <c r="K167" s="1506"/>
      <c r="L167" s="220"/>
      <c r="M167" s="347"/>
      <c r="N167" s="340"/>
      <c r="O167" s="1630"/>
      <c r="P167" s="1630"/>
      <c r="AH167" s="1637">
        <v>0</v>
      </c>
    </row>
    <row s="1641" customFormat="1" customHeight="1" ht="18.75" hidden="1">
      <c r="A168" s="1786" t="s">
        <v>181</v>
      </c>
      <c r="B168" s="1786" t="s">
        <v>182</v>
      </c>
      <c r="C168" s="375"/>
      <c r="D168" s="2468"/>
      <c r="E168" s="2210"/>
      <c r="F168" s="2389" t="str">
        <f>INDEX(PT_DIFFERENTIATION_VTAR,MATCH(A168,PT_DIFFERENTIATION_VTAR_ID,0))</f>
        <v>Тарифы на услуги по передаче тепловой энергии</v>
      </c>
      <c r="G168" s="2433" t="str">
        <f>INDEX(PT_DIFFERENTIATION_NTAR,MATCH(B168,PT_DIFFERENTIATION_NTAR_ID,0))</f>
        <v/>
      </c>
      <c r="H168" s="1868"/>
      <c r="I168" s="1745"/>
      <c r="J168" s="1779"/>
      <c r="K168" s="1784"/>
      <c r="L168" s="1868" t="s">
        <v>322</v>
      </c>
      <c r="M168" s="347"/>
      <c r="N168" s="340"/>
      <c r="O168" s="1630"/>
      <c r="P168" s="1630"/>
      <c r="AH168" s="1637">
        <v>0</v>
      </c>
    </row>
    <row s="1641" customFormat="1" customHeight="1" ht="18.75" hidden="1">
      <c r="A169" s="1786"/>
      <c r="B169" s="1786"/>
      <c r="C169" s="375" t="s">
        <v>1192</v>
      </c>
      <c r="D169" s="2468"/>
      <c r="E169" s="2210"/>
      <c r="F169" s="2389"/>
      <c r="G169" s="2433"/>
      <c r="H169" s="1506"/>
      <c r="I169" s="657" t="s">
        <v>1191</v>
      </c>
      <c r="J169" s="577"/>
      <c r="K169" s="1506"/>
      <c r="L169" s="220"/>
      <c r="M169" s="347"/>
      <c r="N169" s="340"/>
      <c r="O169" s="1630"/>
      <c r="P169" s="1630"/>
      <c r="AH169" s="1637">
        <v>0</v>
      </c>
    </row>
    <row s="1641" customFormat="1" customHeight="1" ht="0.75" hidden="1">
      <c r="A170" s="1786"/>
      <c r="B170" s="1786"/>
      <c r="C170" s="375" t="s">
        <v>1199</v>
      </c>
      <c r="D170" s="2468"/>
      <c r="E170" s="2210"/>
      <c r="F170" s="2389"/>
      <c r="G170" s="406"/>
      <c r="H170" s="1506"/>
      <c r="I170" s="657"/>
      <c r="J170" s="577"/>
      <c r="K170" s="1506"/>
      <c r="L170" s="220"/>
      <c r="M170" s="347"/>
      <c r="N170" s="340"/>
      <c r="O170" s="1630"/>
      <c r="P170" s="1630"/>
      <c r="AH170" s="1637">
        <v>0</v>
      </c>
    </row>
    <row s="1641" customFormat="1" customHeight="1" ht="18.75" hidden="1">
      <c r="A171" s="1786" t="s">
        <v>187</v>
      </c>
      <c r="B171" s="1786" t="s">
        <v>188</v>
      </c>
      <c r="C171" s="375"/>
      <c r="D171" s="2468"/>
      <c r="E171" s="2210"/>
      <c r="F171" s="2389" t="str">
        <f>INDEX(PT_DIFFERENTIATION_VTAR,MATCH(A171,PT_DIFFERENTIATION_VTAR_ID,0))</f>
        <v>Тарифы на услуги по передаче теплоносителя</v>
      </c>
      <c r="G171" s="2433" t="str">
        <f>INDEX(PT_DIFFERENTIATION_NTAR,MATCH(B171,PT_DIFFERENTIATION_NTAR_ID,0))</f>
        <v/>
      </c>
      <c r="H171" s="1868"/>
      <c r="I171" s="1745"/>
      <c r="J171" s="1779"/>
      <c r="K171" s="1784"/>
      <c r="L171" s="1868" t="s">
        <v>322</v>
      </c>
      <c r="M171" s="347"/>
      <c r="N171" s="340"/>
      <c r="O171" s="1630"/>
      <c r="P171" s="1630"/>
      <c r="AH171" s="1637">
        <v>0</v>
      </c>
    </row>
    <row s="1641" customFormat="1" customHeight="1" ht="18.75" hidden="1">
      <c r="A172" s="1786"/>
      <c r="B172" s="1786"/>
      <c r="C172" s="375" t="s">
        <v>1192</v>
      </c>
      <c r="D172" s="2468"/>
      <c r="E172" s="2210"/>
      <c r="F172" s="2389"/>
      <c r="G172" s="2433"/>
      <c r="H172" s="1506"/>
      <c r="I172" s="657" t="s">
        <v>1191</v>
      </c>
      <c r="J172" s="577"/>
      <c r="K172" s="1506"/>
      <c r="L172" s="220"/>
      <c r="M172" s="347"/>
      <c r="N172" s="340"/>
      <c r="O172" s="1630"/>
      <c r="P172" s="1630"/>
      <c r="AH172" s="1637">
        <v>0</v>
      </c>
    </row>
    <row s="1641" customFormat="1" customHeight="1" ht="0.75" hidden="1">
      <c r="A173" s="1786"/>
      <c r="B173" s="1786"/>
      <c r="C173" s="375" t="s">
        <v>1199</v>
      </c>
      <c r="D173" s="2468"/>
      <c r="E173" s="2210"/>
      <c r="F173" s="2389"/>
      <c r="G173" s="406"/>
      <c r="H173" s="1506"/>
      <c r="I173" s="657"/>
      <c r="J173" s="577"/>
      <c r="K173" s="1506"/>
      <c r="L173" s="220"/>
      <c r="M173" s="347"/>
      <c r="N173" s="340"/>
      <c r="O173" s="1630"/>
      <c r="P173" s="1630"/>
      <c r="AH173" s="1637">
        <v>0</v>
      </c>
    </row>
    <row s="1641" customFormat="1" customHeight="1" ht="18.75" hidden="1">
      <c r="A174" s="1786" t="s">
        <v>193</v>
      </c>
      <c r="B174" s="1786" t="s">
        <v>194</v>
      </c>
      <c r="C174" s="375"/>
      <c r="D174" s="2468"/>
      <c r="E174" s="2210"/>
      <c r="F174" s="2389"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433" t="str">
        <f>INDEX(PT_DIFFERENTIATION_NTAR,MATCH(B174,PT_DIFFERENTIATION_NTAR_ID,0))</f>
        <v/>
      </c>
      <c r="H174" s="1868"/>
      <c r="I174" s="1745"/>
      <c r="J174" s="1779"/>
      <c r="K174" s="1784"/>
      <c r="L174" s="1868" t="s">
        <v>322</v>
      </c>
      <c r="M174" s="347"/>
      <c r="N174" s="340"/>
      <c r="O174" s="1630"/>
      <c r="P174" s="1630"/>
      <c r="AH174" s="1637">
        <v>0</v>
      </c>
    </row>
    <row s="1641" customFormat="1" customHeight="1" ht="18.75" hidden="1">
      <c r="A175" s="1786"/>
      <c r="B175" s="1786"/>
      <c r="C175" s="375" t="s">
        <v>1192</v>
      </c>
      <c r="D175" s="2468"/>
      <c r="E175" s="2210"/>
      <c r="F175" s="2389"/>
      <c r="G175" s="2433"/>
      <c r="H175" s="1506"/>
      <c r="I175" s="657" t="s">
        <v>1191</v>
      </c>
      <c r="J175" s="577"/>
      <c r="K175" s="1506"/>
      <c r="L175" s="220"/>
      <c r="M175" s="347"/>
      <c r="N175" s="340"/>
      <c r="O175" s="1630"/>
      <c r="P175" s="1630"/>
      <c r="AH175" s="1637">
        <v>0</v>
      </c>
    </row>
    <row s="1641" customFormat="1" customHeight="1" ht="0.75" hidden="1">
      <c r="A176" s="1786"/>
      <c r="B176" s="1786"/>
      <c r="C176" s="375" t="s">
        <v>1199</v>
      </c>
      <c r="D176" s="2468"/>
      <c r="E176" s="2210"/>
      <c r="F176" s="2389"/>
      <c r="G176" s="406"/>
      <c r="H176" s="1506"/>
      <c r="I176" s="657"/>
      <c r="J176" s="577"/>
      <c r="K176" s="1506"/>
      <c r="L176" s="220"/>
      <c r="M176" s="347"/>
      <c r="N176" s="340"/>
      <c r="O176" s="1630"/>
      <c r="P176" s="1630"/>
      <c r="AH176" s="1637">
        <v>0</v>
      </c>
    </row>
    <row s="1641" customFormat="1" customHeight="1" ht="18.75" hidden="1">
      <c r="A177" s="1786" t="s">
        <v>199</v>
      </c>
      <c r="B177" s="1786" t="s">
        <v>200</v>
      </c>
      <c r="C177" s="375"/>
      <c r="D177" s="2468"/>
      <c r="E177" s="2210"/>
      <c r="F177" s="2389" t="str">
        <f>INDEX(PT_DIFFERENTIATION_VTAR,MATCH(A177,PT_DIFFERENTIATION_VTAR_ID,0))</f>
        <v>Плата за подключение (технологическое присоединение) к системе теплоснабжения</v>
      </c>
      <c r="G177" s="2433" t="str">
        <f>INDEX(PT_DIFFERENTIATION_NTAR,MATCH(B177,PT_DIFFERENTIATION_NTAR_ID,0))</f>
        <v/>
      </c>
      <c r="H177" s="1868"/>
      <c r="I177" s="1745"/>
      <c r="J177" s="1779"/>
      <c r="K177" s="1784"/>
      <c r="L177" s="1868" t="s">
        <v>322</v>
      </c>
      <c r="M177" s="347"/>
      <c r="N177" s="340"/>
      <c r="O177" s="1630"/>
      <c r="P177" s="1630"/>
      <c r="AH177" s="1637">
        <v>0</v>
      </c>
    </row>
    <row s="1641" customFormat="1" customHeight="1" ht="18.75" hidden="1">
      <c r="A178" s="1786"/>
      <c r="B178" s="1786"/>
      <c r="C178" s="375" t="s">
        <v>1192</v>
      </c>
      <c r="D178" s="2468"/>
      <c r="E178" s="2210"/>
      <c r="F178" s="2389"/>
      <c r="G178" s="2433"/>
      <c r="H178" s="1506"/>
      <c r="I178" s="657" t="s">
        <v>1191</v>
      </c>
      <c r="J178" s="577"/>
      <c r="K178" s="1506"/>
      <c r="L178" s="220"/>
      <c r="M178" s="347"/>
      <c r="N178" s="340"/>
      <c r="O178" s="1630"/>
      <c r="P178" s="1630"/>
      <c r="AH178" s="1637">
        <v>0</v>
      </c>
    </row>
    <row s="1641" customFormat="1" customHeight="1" ht="0.75" hidden="1">
      <c r="A179" s="1786"/>
      <c r="B179" s="1786"/>
      <c r="C179" s="375" t="s">
        <v>1199</v>
      </c>
      <c r="D179" s="2468"/>
      <c r="E179" s="2210"/>
      <c r="F179" s="2389"/>
      <c r="G179" s="406"/>
      <c r="H179" s="1506"/>
      <c r="I179" s="657"/>
      <c r="J179" s="577"/>
      <c r="K179" s="1506"/>
      <c r="L179" s="220"/>
      <c r="M179" s="347"/>
      <c r="N179" s="340"/>
      <c r="O179" s="1630"/>
      <c r="P179" s="1630"/>
      <c r="AH179" s="1637">
        <v>0</v>
      </c>
    </row>
    <row s="1641" customFormat="1" customHeight="1" ht="18.75" hidden="1">
      <c r="A180" s="1786" t="s">
        <v>205</v>
      </c>
      <c r="B180" s="1786" t="s">
        <v>206</v>
      </c>
      <c r="C180" s="375"/>
      <c r="D180" s="2468"/>
      <c r="E180" s="2210"/>
      <c r="F180" s="2389" t="str">
        <f>INDEX(PT_DIFFERENTIATION_VTAR,MATCH(A180,PT_DIFFERENTIATION_VTAR_ID,0))</f>
        <v>Плата за подключение (технологическое присоединение) к системе теплоснабжения (индивидуальная)</v>
      </c>
      <c r="G180" s="2433" t="str">
        <f>INDEX(PT_DIFFERENTIATION_NTAR,MATCH(B180,PT_DIFFERENTIATION_NTAR_ID,0))</f>
        <v/>
      </c>
      <c r="H180" s="1995"/>
      <c r="I180" s="1745"/>
      <c r="J180" s="1779"/>
      <c r="K180" s="1784"/>
      <c r="L180" s="1995" t="s">
        <v>322</v>
      </c>
      <c r="M180" s="347"/>
      <c r="N180" s="340"/>
      <c r="O180" s="1630"/>
      <c r="P180" s="1630"/>
      <c r="AH180" s="1637">
        <v>0</v>
      </c>
    </row>
    <row s="1641" customFormat="1" customHeight="1" ht="18.75" hidden="1">
      <c r="A181" s="1786"/>
      <c r="B181" s="1786"/>
      <c r="C181" s="375" t="s">
        <v>1192</v>
      </c>
      <c r="D181" s="2468"/>
      <c r="E181" s="2210"/>
      <c r="F181" s="2389"/>
      <c r="G181" s="2433"/>
      <c r="H181" s="1506"/>
      <c r="I181" s="657" t="s">
        <v>1191</v>
      </c>
      <c r="J181" s="577"/>
      <c r="K181" s="1506"/>
      <c r="L181" s="220"/>
      <c r="M181" s="347"/>
      <c r="N181" s="340"/>
      <c r="O181" s="1630"/>
      <c r="P181" s="1630"/>
      <c r="AH181" s="1637">
        <v>0</v>
      </c>
    </row>
    <row s="1641" customFormat="1" customHeight="1" ht="0.75" hidden="1">
      <c r="A182" s="1786"/>
      <c r="B182" s="1786"/>
      <c r="C182" s="375" t="s">
        <v>1199</v>
      </c>
      <c r="D182" s="2468"/>
      <c r="E182" s="2210"/>
      <c r="F182" s="2389"/>
      <c r="G182" s="406"/>
      <c r="H182" s="1506"/>
      <c r="I182" s="657"/>
      <c r="J182" s="577"/>
      <c r="K182" s="1506"/>
      <c r="L182" s="220"/>
      <c r="M182" s="347"/>
      <c r="N182" s="340"/>
      <c r="O182" s="1630"/>
      <c r="P182" s="1630"/>
      <c r="AH182" s="1637">
        <v>0</v>
      </c>
    </row>
    <row s="1641" customFormat="1" customHeight="1" ht="18.75" hidden="1">
      <c r="A183" s="1786" t="s">
        <v>225</v>
      </c>
      <c r="B183" s="1786" t="s">
        <v>226</v>
      </c>
      <c r="C183" s="375"/>
      <c r="D183" s="2468"/>
      <c r="E183" s="2210"/>
      <c r="F183" s="2389" t="str">
        <f>INDEX(PT_DIFFERENTIATION_VTAR,MATCH(A183,PT_DIFFERENTIATION_VTAR_ID,0))</f>
        <v>Тариф на питьевую воду (питьевое водоснабжение)</v>
      </c>
      <c r="G183" s="2433" t="str">
        <f>INDEX(PT_DIFFERENTIATION_NTAR,MATCH(B183,PT_DIFFERENTIATION_NTAR_ID,0))</f>
        <v/>
      </c>
      <c r="H183" s="1868"/>
      <c r="I183" s="1745"/>
      <c r="J183" s="1779"/>
      <c r="K183" s="1784"/>
      <c r="L183" s="1868" t="s">
        <v>322</v>
      </c>
      <c r="M183" s="347"/>
      <c r="N183" s="340"/>
      <c r="O183" s="1630"/>
      <c r="P183" s="1630"/>
      <c r="AH183" s="1637">
        <v>0</v>
      </c>
    </row>
    <row s="1641" customFormat="1" customHeight="1" ht="18.75" hidden="1">
      <c r="A184" s="1786"/>
      <c r="B184" s="1786"/>
      <c r="C184" s="375" t="s">
        <v>1192</v>
      </c>
      <c r="D184" s="2468"/>
      <c r="E184" s="2210"/>
      <c r="F184" s="2389"/>
      <c r="G184" s="2433"/>
      <c r="H184" s="1506"/>
      <c r="I184" s="657" t="s">
        <v>1191</v>
      </c>
      <c r="J184" s="577"/>
      <c r="K184" s="1506"/>
      <c r="L184" s="220"/>
      <c r="M184" s="347"/>
      <c r="N184" s="340"/>
      <c r="O184" s="1630"/>
      <c r="P184" s="1630"/>
      <c r="AH184" s="1637">
        <v>0</v>
      </c>
    </row>
    <row s="1641" customFormat="1" customHeight="1" ht="0.75" hidden="1">
      <c r="A185" s="1786"/>
      <c r="B185" s="1786"/>
      <c r="C185" s="375" t="s">
        <v>1199</v>
      </c>
      <c r="D185" s="2468"/>
      <c r="E185" s="2210"/>
      <c r="F185" s="2389"/>
      <c r="G185" s="406"/>
      <c r="H185" s="1506"/>
      <c r="I185" s="657"/>
      <c r="J185" s="577"/>
      <c r="K185" s="1506"/>
      <c r="L185" s="220"/>
      <c r="M185" s="347"/>
      <c r="N185" s="340"/>
      <c r="O185" s="1630"/>
      <c r="P185" s="1630"/>
      <c r="AH185" s="1637">
        <v>0</v>
      </c>
    </row>
    <row s="1641" customFormat="1" customHeight="1" ht="18.75" hidden="1">
      <c r="A186" s="1786" t="s">
        <v>230</v>
      </c>
      <c r="B186" s="1786" t="s">
        <v>231</v>
      </c>
      <c r="C186" s="375"/>
      <c r="D186" s="2468"/>
      <c r="E186" s="2210"/>
      <c r="F186" s="2389" t="str">
        <f>INDEX(PT_DIFFERENTIATION_VTAR,MATCH(A186,PT_DIFFERENTIATION_VTAR_ID,0))</f>
        <v>Тариф на техническую воду</v>
      </c>
      <c r="G186" s="2433" t="str">
        <f>INDEX(PT_DIFFERENTIATION_NTAR,MATCH(B186,PT_DIFFERENTIATION_NTAR_ID,0))</f>
        <v/>
      </c>
      <c r="H186" s="1868"/>
      <c r="I186" s="1745"/>
      <c r="J186" s="1779"/>
      <c r="K186" s="1784"/>
      <c r="L186" s="1868" t="s">
        <v>322</v>
      </c>
      <c r="M186" s="347"/>
      <c r="N186" s="340"/>
      <c r="O186" s="1630"/>
      <c r="P186" s="1630"/>
      <c r="AH186" s="1637">
        <v>0</v>
      </c>
    </row>
    <row s="1641" customFormat="1" customHeight="1" ht="18.75" hidden="1">
      <c r="A187" s="1786"/>
      <c r="B187" s="1786"/>
      <c r="C187" s="375" t="s">
        <v>1192</v>
      </c>
      <c r="D187" s="2468"/>
      <c r="E187" s="2210"/>
      <c r="F187" s="2389"/>
      <c r="G187" s="2433"/>
      <c r="H187" s="1506"/>
      <c r="I187" s="657" t="s">
        <v>1191</v>
      </c>
      <c r="J187" s="577"/>
      <c r="K187" s="1506"/>
      <c r="L187" s="220"/>
      <c r="M187" s="347"/>
      <c r="N187" s="340"/>
      <c r="O187" s="1630"/>
      <c r="P187" s="1630"/>
      <c r="AH187" s="1637">
        <v>0</v>
      </c>
    </row>
    <row s="1641" customFormat="1" customHeight="1" ht="0.75" hidden="1">
      <c r="A188" s="1786"/>
      <c r="B188" s="1786"/>
      <c r="C188" s="375" t="s">
        <v>1199</v>
      </c>
      <c r="D188" s="2468"/>
      <c r="E188" s="2210"/>
      <c r="F188" s="2389"/>
      <c r="G188" s="406"/>
      <c r="H188" s="1506"/>
      <c r="I188" s="657"/>
      <c r="J188" s="577"/>
      <c r="K188" s="1506"/>
      <c r="L188" s="220"/>
      <c r="M188" s="347"/>
      <c r="N188" s="340"/>
      <c r="O188" s="1630"/>
      <c r="P188" s="1630"/>
      <c r="AH188" s="1637">
        <v>0</v>
      </c>
    </row>
    <row s="1641" customFormat="1" customHeight="1" ht="18.75" hidden="1">
      <c r="A189" s="1786" t="s">
        <v>235</v>
      </c>
      <c r="B189" s="1786" t="s">
        <v>236</v>
      </c>
      <c r="C189" s="375"/>
      <c r="D189" s="2468"/>
      <c r="E189" s="2210"/>
      <c r="F189" s="2389" t="str">
        <f>INDEX(PT_DIFFERENTIATION_VTAR,MATCH(A189,PT_DIFFERENTIATION_VTAR_ID,0))</f>
        <v>Тариф на транспортировку воды</v>
      </c>
      <c r="G189" s="2433" t="str">
        <f>INDEX(PT_DIFFERENTIATION_NTAR,MATCH(B189,PT_DIFFERENTIATION_NTAR_ID,0))</f>
        <v/>
      </c>
      <c r="H189" s="1868"/>
      <c r="I189" s="1745"/>
      <c r="J189" s="1779"/>
      <c r="K189" s="1784"/>
      <c r="L189" s="1868" t="s">
        <v>322</v>
      </c>
      <c r="M189" s="347"/>
      <c r="N189" s="340"/>
      <c r="O189" s="1630"/>
      <c r="P189" s="1630"/>
      <c r="AH189" s="1637">
        <v>0</v>
      </c>
    </row>
    <row s="1641" customFormat="1" customHeight="1" ht="18.75" hidden="1">
      <c r="A190" s="1786"/>
      <c r="B190" s="1786"/>
      <c r="C190" s="375" t="s">
        <v>1192</v>
      </c>
      <c r="D190" s="2468"/>
      <c r="E190" s="2210"/>
      <c r="F190" s="2389"/>
      <c r="G190" s="2433"/>
      <c r="H190" s="1506"/>
      <c r="I190" s="657" t="s">
        <v>1191</v>
      </c>
      <c r="J190" s="577"/>
      <c r="K190" s="1506"/>
      <c r="L190" s="220"/>
      <c r="M190" s="347"/>
      <c r="N190" s="340"/>
      <c r="O190" s="1630"/>
      <c r="P190" s="1630"/>
      <c r="AH190" s="1637">
        <v>0</v>
      </c>
    </row>
    <row s="1641" customFormat="1" customHeight="1" ht="0.75" hidden="1">
      <c r="A191" s="1786"/>
      <c r="B191" s="1786"/>
      <c r="C191" s="375" t="s">
        <v>1199</v>
      </c>
      <c r="D191" s="2468"/>
      <c r="E191" s="2210"/>
      <c r="F191" s="2389"/>
      <c r="G191" s="406"/>
      <c r="H191" s="1506"/>
      <c r="I191" s="657"/>
      <c r="J191" s="577"/>
      <c r="K191" s="1506"/>
      <c r="L191" s="220"/>
      <c r="M191" s="347"/>
      <c r="N191" s="340"/>
      <c r="O191" s="1630"/>
      <c r="P191" s="1630"/>
      <c r="AH191" s="1637">
        <v>0</v>
      </c>
    </row>
    <row s="1641" customFormat="1" customHeight="1" ht="18.75" hidden="1">
      <c r="A192" s="1786" t="s">
        <v>240</v>
      </c>
      <c r="B192" s="1786" t="s">
        <v>241</v>
      </c>
      <c r="C192" s="375"/>
      <c r="D192" s="2468"/>
      <c r="E192" s="2210"/>
      <c r="F192" s="2389" t="str">
        <f>INDEX(PT_DIFFERENTIATION_VTAR,MATCH(A192,PT_DIFFERENTIATION_VTAR_ID,0))</f>
        <v>Тариф на подвоз воды</v>
      </c>
      <c r="G192" s="2433" t="str">
        <f>INDEX(PT_DIFFERENTIATION_NTAR,MATCH(B192,PT_DIFFERENTIATION_NTAR_ID,0))</f>
        <v/>
      </c>
      <c r="H192" s="1868"/>
      <c r="I192" s="1745"/>
      <c r="J192" s="1779"/>
      <c r="K192" s="1784"/>
      <c r="L192" s="1868" t="s">
        <v>322</v>
      </c>
      <c r="M192" s="347"/>
      <c r="N192" s="340"/>
      <c r="O192" s="1630"/>
      <c r="P192" s="1630"/>
      <c r="AH192" s="1637">
        <v>0</v>
      </c>
    </row>
    <row s="1641" customFormat="1" customHeight="1" ht="18.75" hidden="1">
      <c r="A193" s="1786"/>
      <c r="B193" s="1786"/>
      <c r="C193" s="375" t="s">
        <v>1192</v>
      </c>
      <c r="D193" s="2468"/>
      <c r="E193" s="2210"/>
      <c r="F193" s="2389"/>
      <c r="G193" s="2433"/>
      <c r="H193" s="1506"/>
      <c r="I193" s="657" t="s">
        <v>1191</v>
      </c>
      <c r="J193" s="577"/>
      <c r="K193" s="1506"/>
      <c r="L193" s="220"/>
      <c r="M193" s="347"/>
      <c r="N193" s="340"/>
      <c r="O193" s="1630"/>
      <c r="P193" s="1630"/>
      <c r="AH193" s="1637">
        <v>0</v>
      </c>
    </row>
    <row s="1641" customFormat="1" customHeight="1" ht="0.75" hidden="1">
      <c r="A194" s="1786"/>
      <c r="B194" s="1786"/>
      <c r="C194" s="375" t="s">
        <v>1199</v>
      </c>
      <c r="D194" s="2468"/>
      <c r="E194" s="2210"/>
      <c r="F194" s="2389"/>
      <c r="G194" s="406"/>
      <c r="H194" s="1506"/>
      <c r="I194" s="657"/>
      <c r="J194" s="577"/>
      <c r="K194" s="1506"/>
      <c r="L194" s="220"/>
      <c r="M194" s="347"/>
      <c r="N194" s="340"/>
      <c r="O194" s="1630"/>
      <c r="P194" s="1630"/>
      <c r="AH194" s="1637">
        <v>0</v>
      </c>
    </row>
    <row s="1641" customFormat="1" customHeight="1" ht="18.75" hidden="1">
      <c r="A195" s="1786" t="s">
        <v>247</v>
      </c>
      <c r="B195" s="1786" t="s">
        <v>248</v>
      </c>
      <c r="C195" s="375"/>
      <c r="D195" s="2468"/>
      <c r="E195" s="2210"/>
      <c r="F195" s="2389"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433" t="str">
        <f>INDEX(PT_DIFFERENTIATION_NTAR,MATCH(B195,PT_DIFFERENTIATION_NTAR_ID,0))</f>
        <v>Ставка тарифа на подключаемую нагрузку к централизованной системе холодного водоснабжения АО "ДГК" СП "Нерюнгринская ГРЭС" на 2026 год </v>
      </c>
      <c r="H195" s="1868"/>
      <c r="I195" s="1745"/>
      <c r="J195" s="1779"/>
      <c r="K195" s="1784"/>
      <c r="L195" s="1868" t="s">
        <v>322</v>
      </c>
      <c r="M195" s="347"/>
      <c r="N195" s="340"/>
      <c r="O195" s="1630"/>
      <c r="P195" s="1630"/>
      <c r="AH195" s="1637">
        <v>0</v>
      </c>
    </row>
    <row s="1641" customFormat="1" customHeight="1" ht="18.75" hidden="1">
      <c r="A196" s="1786"/>
      <c r="B196" s="1786"/>
      <c r="C196" s="375" t="s">
        <v>1192</v>
      </c>
      <c r="D196" s="2468"/>
      <c r="E196" s="2210"/>
      <c r="F196" s="2389"/>
      <c r="G196" s="2433"/>
      <c r="H196" s="1506"/>
      <c r="I196" s="657" t="s">
        <v>1191</v>
      </c>
      <c r="J196" s="577"/>
      <c r="K196" s="1506"/>
      <c r="L196" s="220"/>
      <c r="M196" s="347"/>
      <c r="N196" s="340"/>
      <c r="O196" s="1630"/>
      <c r="P196" s="1630"/>
      <c r="AH196" s="1637">
        <v>0</v>
      </c>
    </row>
    <row s="1641" customFormat="1" customHeight="1" ht="18.75">
      <c r="A197" s="1829" t="s">
        <v>247</v>
      </c>
      <c r="B197" s="1829" t="s">
        <v>255</v>
      </c>
      <c r="C197" s="1693"/>
      <c r="D197" s="350"/>
      <c r="E197" s="1037"/>
      <c r="F197" s="1037"/>
      <c r="G197" s="2433" t="str">
        <f>INDEX(PT_DIFFERENTIATION_NTAR,MATCH(B197,PT_DIFFERENTIATION_NTAR_ID,0))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(без учета расходов на благоустройство)</v>
      </c>
      <c r="H197" s="2277"/>
      <c r="I197" s="1745"/>
      <c r="J197" s="1779"/>
      <c r="K197" s="1784"/>
      <c r="L197" s="2277" t="s">
        <v>322</v>
      </c>
      <c r="M197" s="2324"/>
      <c r="N197" s="624"/>
      <c r="O197" s="1630"/>
      <c r="P197" s="1630"/>
      <c r="Q197" s="1641"/>
      <c r="R197" s="1641"/>
      <c r="S197" s="1641"/>
      <c r="T197" s="1641"/>
      <c r="U197" s="1641"/>
      <c r="V197" s="1641"/>
      <c r="W197" s="1641"/>
      <c r="X197" s="1641"/>
      <c r="Y197" s="1641"/>
      <c r="Z197" s="1641"/>
      <c r="AA197" s="1641"/>
      <c r="AB197" s="1641"/>
      <c r="AC197" s="1641"/>
      <c r="AD197" s="1641"/>
      <c r="AE197" s="1641"/>
      <c r="AF197" s="1641"/>
      <c r="AG197" s="1641"/>
      <c r="AH197" s="1641">
        <v>0</v>
      </c>
    </row>
    <row s="1641" customFormat="1" customHeight="1" ht="18.75">
      <c r="A198" s="1829"/>
      <c r="B198" s="1829"/>
      <c r="C198" s="1693" t="s">
        <v>1192</v>
      </c>
      <c r="D198" s="350"/>
      <c r="E198" s="1037"/>
      <c r="F198" s="1037"/>
      <c r="G198" s="2433"/>
      <c r="H198" s="3088"/>
      <c r="I198" s="3089" t="s">
        <v>1191</v>
      </c>
      <c r="J198" s="3090"/>
      <c r="K198" s="3091"/>
      <c r="L198" s="3092"/>
      <c r="M198" s="2324"/>
      <c r="N198" s="624"/>
      <c r="O198" s="1630"/>
      <c r="P198" s="1630"/>
      <c r="Q198" s="1641"/>
      <c r="R198" s="1641"/>
      <c r="S198" s="1641"/>
      <c r="T198" s="1641"/>
      <c r="U198" s="1641"/>
      <c r="V198" s="1641"/>
      <c r="W198" s="1641"/>
      <c r="X198" s="1641"/>
      <c r="Y198" s="1641"/>
      <c r="Z198" s="1641"/>
      <c r="AA198" s="1641"/>
      <c r="AB198" s="1641"/>
      <c r="AC198" s="1641"/>
      <c r="AD198" s="1641"/>
      <c r="AE198" s="1641"/>
      <c r="AF198" s="1641"/>
      <c r="AG198" s="1641"/>
      <c r="AH198" s="1641">
        <v>0</v>
      </c>
    </row>
    <row s="1641" customFormat="1" customHeight="1" ht="18.75">
      <c r="A199" s="1829" t="s">
        <v>247</v>
      </c>
      <c r="B199" s="1829" t="s">
        <v>260</v>
      </c>
      <c r="C199" s="1693"/>
      <c r="D199" s="350"/>
      <c r="E199" s="1037"/>
      <c r="F199" s="1037"/>
      <c r="G199" s="2433" t="str">
        <f>INDEX(PT_DIFFERENTIATION_NTAR,MATCH(B199,PT_DIFFERENTIATION_NTAR_ID,0))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(с учетом расходов на благоустройство)</v>
      </c>
      <c r="H199" s="2277"/>
      <c r="I199" s="1745"/>
      <c r="J199" s="1779"/>
      <c r="K199" s="1784"/>
      <c r="L199" s="2277" t="s">
        <v>322</v>
      </c>
      <c r="M199" s="2324"/>
      <c r="N199" s="624"/>
      <c r="O199" s="1630"/>
      <c r="P199" s="1630"/>
      <c r="Q199" s="1641"/>
      <c r="R199" s="1641"/>
      <c r="S199" s="1641"/>
      <c r="T199" s="1641"/>
      <c r="U199" s="1641"/>
      <c r="V199" s="1641"/>
      <c r="W199" s="1641"/>
      <c r="X199" s="1641"/>
      <c r="Y199" s="1641"/>
      <c r="Z199" s="1641"/>
      <c r="AA199" s="1641"/>
      <c r="AB199" s="1641"/>
      <c r="AC199" s="1641"/>
      <c r="AD199" s="1641"/>
      <c r="AE199" s="1641"/>
      <c r="AF199" s="1641"/>
      <c r="AG199" s="1641"/>
      <c r="AH199" s="1641">
        <v>0</v>
      </c>
    </row>
    <row s="1641" customFormat="1" customHeight="1" ht="18.75">
      <c r="A200" s="1829"/>
      <c r="B200" s="1829"/>
      <c r="C200" s="1693" t="s">
        <v>1192</v>
      </c>
      <c r="D200" s="350"/>
      <c r="E200" s="1037"/>
      <c r="F200" s="1037"/>
      <c r="G200" s="2433"/>
      <c r="H200" s="3093"/>
      <c r="I200" s="3094" t="s">
        <v>1191</v>
      </c>
      <c r="J200" s="3095"/>
      <c r="K200" s="3096"/>
      <c r="L200" s="3097"/>
      <c r="M200" s="2324"/>
      <c r="N200" s="624"/>
      <c r="O200" s="1630"/>
      <c r="P200" s="1630"/>
      <c r="Q200" s="1641"/>
      <c r="R200" s="1641"/>
      <c r="S200" s="1641"/>
      <c r="T200" s="1641"/>
      <c r="U200" s="1641"/>
      <c r="V200" s="1641"/>
      <c r="W200" s="1641"/>
      <c r="X200" s="1641"/>
      <c r="Y200" s="1641"/>
      <c r="Z200" s="1641"/>
      <c r="AA200" s="1641"/>
      <c r="AB200" s="1641"/>
      <c r="AC200" s="1641"/>
      <c r="AD200" s="1641"/>
      <c r="AE200" s="1641"/>
      <c r="AF200" s="1641"/>
      <c r="AG200" s="1641"/>
      <c r="AH200" s="1641">
        <v>0</v>
      </c>
    </row>
    <row s="1641" customFormat="1" customHeight="1" ht="0.75" hidden="1">
      <c r="A201" s="1786"/>
      <c r="B201" s="1786"/>
      <c r="C201" s="375" t="s">
        <v>1199</v>
      </c>
      <c r="D201" s="2468"/>
      <c r="E201" s="2210"/>
      <c r="F201" s="2389"/>
      <c r="G201" s="406"/>
      <c r="H201" s="1506"/>
      <c r="I201" s="657"/>
      <c r="J201" s="577"/>
      <c r="K201" s="1506"/>
      <c r="L201" s="220"/>
      <c r="M201" s="347"/>
      <c r="N201" s="340"/>
      <c r="O201" s="1630"/>
      <c r="P201" s="1630"/>
      <c r="AH201" s="1637">
        <v>0</v>
      </c>
    </row>
    <row s="1641" customFormat="1" customHeight="1" ht="18.75" hidden="1">
      <c r="A202" s="1786" t="s">
        <v>266</v>
      </c>
      <c r="B202" s="1786" t="s">
        <v>267</v>
      </c>
      <c r="C202" s="375"/>
      <c r="D202" s="2468"/>
      <c r="E202" s="2210"/>
      <c r="F202" s="2389" t="str">
        <f>INDEX(PT_DIFFERENTIATION_VTAR,MATCH(A202,PT_DIFFERENTIATION_VTAR_ID,0))</f>
        <v>Тариф на горячую воду (горячее водоснабжение)</v>
      </c>
      <c r="G202" s="2433" t="str">
        <f>INDEX(PT_DIFFERENTIATION_NTAR,MATCH(B202,PT_DIFFERENTIATION_NTAR_ID,0))</f>
        <v/>
      </c>
      <c r="H202" s="1868"/>
      <c r="I202" s="1745"/>
      <c r="J202" s="1779"/>
      <c r="K202" s="1784"/>
      <c r="L202" s="1868" t="s">
        <v>322</v>
      </c>
      <c r="M202" s="347"/>
      <c r="N202" s="340"/>
      <c r="O202" s="1630"/>
      <c r="P202" s="1630"/>
      <c r="AH202" s="1637">
        <v>0</v>
      </c>
    </row>
    <row s="1641" customFormat="1" customHeight="1" ht="18.75" hidden="1">
      <c r="A203" s="1786"/>
      <c r="B203" s="1786"/>
      <c r="C203" s="375" t="s">
        <v>1192</v>
      </c>
      <c r="D203" s="2468"/>
      <c r="E203" s="2210"/>
      <c r="F203" s="2389"/>
      <c r="G203" s="2433"/>
      <c r="H203" s="1506"/>
      <c r="I203" s="657" t="s">
        <v>1191</v>
      </c>
      <c r="J203" s="577"/>
      <c r="K203" s="1506"/>
      <c r="L203" s="220"/>
      <c r="M203" s="347"/>
      <c r="N203" s="340"/>
      <c r="O203" s="1630"/>
      <c r="P203" s="1630"/>
      <c r="AH203" s="1637">
        <v>0</v>
      </c>
    </row>
    <row s="1641" customFormat="1" customHeight="1" ht="0.75" hidden="1">
      <c r="A204" s="1786"/>
      <c r="B204" s="1786"/>
      <c r="C204" s="375" t="s">
        <v>1199</v>
      </c>
      <c r="D204" s="2468"/>
      <c r="E204" s="2210"/>
      <c r="F204" s="2389"/>
      <c r="G204" s="406"/>
      <c r="H204" s="1506"/>
      <c r="I204" s="657"/>
      <c r="J204" s="577"/>
      <c r="K204" s="1506"/>
      <c r="L204" s="220"/>
      <c r="M204" s="347"/>
      <c r="N204" s="340"/>
      <c r="O204" s="1630"/>
      <c r="P204" s="1630"/>
      <c r="AH204" s="1637">
        <v>0</v>
      </c>
    </row>
    <row s="1641" customFormat="1" customHeight="1" ht="18.75" hidden="1">
      <c r="A205" s="1786" t="s">
        <v>271</v>
      </c>
      <c r="B205" s="1786" t="s">
        <v>272</v>
      </c>
      <c r="C205" s="375"/>
      <c r="D205" s="2468"/>
      <c r="E205" s="2210"/>
      <c r="F205" s="2389" t="str">
        <f>INDEX(PT_DIFFERENTIATION_VTAR,MATCH(A205,PT_DIFFERENTIATION_VTAR_ID,0))</f>
        <v>Тариф на транспортировку горячей воды</v>
      </c>
      <c r="G205" s="2433" t="str">
        <f>INDEX(PT_DIFFERENTIATION_NTAR,MATCH(B205,PT_DIFFERENTIATION_NTAR_ID,0))</f>
        <v/>
      </c>
      <c r="H205" s="1868"/>
      <c r="I205" s="1745"/>
      <c r="J205" s="1779"/>
      <c r="K205" s="1784"/>
      <c r="L205" s="1868" t="s">
        <v>322</v>
      </c>
      <c r="M205" s="347"/>
      <c r="N205" s="340"/>
      <c r="O205" s="1630"/>
      <c r="P205" s="1630"/>
      <c r="AH205" s="1637">
        <v>0</v>
      </c>
    </row>
    <row s="1641" customFormat="1" customHeight="1" ht="18.75" hidden="1">
      <c r="A206" s="1786"/>
      <c r="B206" s="1786"/>
      <c r="C206" s="375" t="s">
        <v>1192</v>
      </c>
      <c r="D206" s="2468"/>
      <c r="E206" s="2210"/>
      <c r="F206" s="2389"/>
      <c r="G206" s="2433"/>
      <c r="H206" s="1506"/>
      <c r="I206" s="657" t="s">
        <v>1191</v>
      </c>
      <c r="J206" s="577"/>
      <c r="K206" s="1506"/>
      <c r="L206" s="220"/>
      <c r="M206" s="347"/>
      <c r="N206" s="340"/>
      <c r="O206" s="1630"/>
      <c r="P206" s="1630"/>
      <c r="AH206" s="1637">
        <v>0</v>
      </c>
    </row>
    <row s="1641" customFormat="1" customHeight="1" ht="0.75" hidden="1">
      <c r="A207" s="1786"/>
      <c r="B207" s="1786"/>
      <c r="C207" s="375" t="s">
        <v>1199</v>
      </c>
      <c r="D207" s="2468"/>
      <c r="E207" s="2210"/>
      <c r="F207" s="2389"/>
      <c r="G207" s="406"/>
      <c r="H207" s="1506"/>
      <c r="I207" s="657"/>
      <c r="J207" s="577"/>
      <c r="K207" s="1506"/>
      <c r="L207" s="220"/>
      <c r="M207" s="347"/>
      <c r="N207" s="340"/>
      <c r="O207" s="1630"/>
      <c r="P207" s="1630"/>
      <c r="AH207" s="1637">
        <v>0</v>
      </c>
    </row>
    <row s="1641" customFormat="1" customHeight="1" ht="18.75" hidden="1">
      <c r="A208" s="1786" t="s">
        <v>276</v>
      </c>
      <c r="B208" s="1786" t="s">
        <v>277</v>
      </c>
      <c r="C208" s="375"/>
      <c r="D208" s="2468"/>
      <c r="E208" s="2210"/>
      <c r="F208" s="2389" t="str">
        <f>INDEX(PT_DIFFERENTIATION_VTAR,MATCH(A208,PT_DIFFERENTIATION_VTAR_ID,0))</f>
        <v>Тариф на подключение (технологическое присоединение) к централизованной системе горячего водоснабжения</v>
      </c>
      <c r="G208" s="2433" t="str">
        <f>INDEX(PT_DIFFERENTIATION_NTAR,MATCH(B208,PT_DIFFERENTIATION_NTAR_ID,0))</f>
        <v/>
      </c>
      <c r="H208" s="1868"/>
      <c r="I208" s="1745"/>
      <c r="J208" s="1779"/>
      <c r="K208" s="1784"/>
      <c r="L208" s="1868" t="s">
        <v>322</v>
      </c>
      <c r="M208" s="347"/>
      <c r="N208" s="340"/>
      <c r="O208" s="1630"/>
      <c r="P208" s="1630"/>
      <c r="AH208" s="1637">
        <v>0</v>
      </c>
    </row>
    <row s="1641" customFormat="1" customHeight="1" ht="18.75" hidden="1">
      <c r="A209" s="1786"/>
      <c r="B209" s="1786"/>
      <c r="C209" s="375" t="s">
        <v>1192</v>
      </c>
      <c r="D209" s="2468"/>
      <c r="E209" s="2210"/>
      <c r="F209" s="2389"/>
      <c r="G209" s="2433"/>
      <c r="H209" s="1506"/>
      <c r="I209" s="657" t="s">
        <v>1191</v>
      </c>
      <c r="J209" s="577"/>
      <c r="K209" s="1506"/>
      <c r="L209" s="220"/>
      <c r="M209" s="347"/>
      <c r="N209" s="340"/>
      <c r="O209" s="1630"/>
      <c r="P209" s="1630"/>
      <c r="AH209" s="1637">
        <v>0</v>
      </c>
    </row>
    <row s="1641" customFormat="1" customHeight="1" ht="0.75" hidden="1">
      <c r="A210" s="1786"/>
      <c r="B210" s="1786"/>
      <c r="C210" s="375" t="s">
        <v>1199</v>
      </c>
      <c r="D210" s="2468"/>
      <c r="E210" s="2210"/>
      <c r="F210" s="2389"/>
      <c r="G210" s="406"/>
      <c r="H210" s="1506"/>
      <c r="I210" s="657"/>
      <c r="J210" s="577"/>
      <c r="K210" s="1506"/>
      <c r="L210" s="220"/>
      <c r="M210" s="347"/>
      <c r="N210" s="340"/>
      <c r="O210" s="1630"/>
      <c r="P210" s="1630"/>
      <c r="AH210" s="1637">
        <v>0</v>
      </c>
    </row>
    <row s="1641" customFormat="1" customHeight="1" ht="18.75" hidden="1">
      <c r="A211" s="1786" t="s">
        <v>281</v>
      </c>
      <c r="B211" s="1786" t="s">
        <v>282</v>
      </c>
      <c r="C211" s="375"/>
      <c r="D211" s="2468"/>
      <c r="E211" s="2210"/>
      <c r="F211" s="2389" t="str">
        <f>INDEX(PT_DIFFERENTIATION_VTAR,MATCH(A211,PT_DIFFERENTIATION_VTAR_ID,0))</f>
        <v>Тариф на водоотведение</v>
      </c>
      <c r="G211" s="2433" t="str">
        <f>INDEX(PT_DIFFERENTIATION_NTAR,MATCH(B211,PT_DIFFERENTIATION_NTAR_ID,0))</f>
        <v/>
      </c>
      <c r="H211" s="1868"/>
      <c r="I211" s="1745"/>
      <c r="J211" s="1779"/>
      <c r="K211" s="1784"/>
      <c r="L211" s="1868" t="s">
        <v>322</v>
      </c>
      <c r="M211" s="347"/>
      <c r="N211" s="340"/>
      <c r="O211" s="1630"/>
      <c r="P211" s="1630"/>
      <c r="AH211" s="1637">
        <v>0</v>
      </c>
    </row>
    <row s="1641" customFormat="1" customHeight="1" ht="18.75" hidden="1">
      <c r="A212" s="1786"/>
      <c r="B212" s="1786"/>
      <c r="C212" s="375" t="s">
        <v>1192</v>
      </c>
      <c r="D212" s="2468"/>
      <c r="E212" s="2210"/>
      <c r="F212" s="2389"/>
      <c r="G212" s="2433"/>
      <c r="H212" s="1506"/>
      <c r="I212" s="657" t="s">
        <v>1191</v>
      </c>
      <c r="J212" s="577"/>
      <c r="K212" s="1506"/>
      <c r="L212" s="220"/>
      <c r="M212" s="347"/>
      <c r="N212" s="340"/>
      <c r="O212" s="1630"/>
      <c r="P212" s="1630"/>
      <c r="AH212" s="1637">
        <v>0</v>
      </c>
    </row>
    <row s="1641" customFormat="1" customHeight="1" ht="0.75" hidden="1">
      <c r="A213" s="1786"/>
      <c r="B213" s="1786"/>
      <c r="C213" s="375" t="s">
        <v>1199</v>
      </c>
      <c r="D213" s="2468"/>
      <c r="E213" s="2210"/>
      <c r="F213" s="2389"/>
      <c r="G213" s="406"/>
      <c r="H213" s="1506"/>
      <c r="I213" s="657"/>
      <c r="J213" s="577"/>
      <c r="K213" s="1506"/>
      <c r="L213" s="220"/>
      <c r="M213" s="347"/>
      <c r="N213" s="340"/>
      <c r="O213" s="1630"/>
      <c r="P213" s="1630"/>
      <c r="AH213" s="1637">
        <v>0</v>
      </c>
    </row>
    <row s="1641" customFormat="1" customHeight="1" ht="18.75" hidden="1">
      <c r="A214" s="1786" t="s">
        <v>286</v>
      </c>
      <c r="B214" s="1786" t="s">
        <v>287</v>
      </c>
      <c r="C214" s="375"/>
      <c r="D214" s="2468"/>
      <c r="E214" s="2210"/>
      <c r="F214" s="2389" t="str">
        <f>INDEX(PT_DIFFERENTIATION_VTAR,MATCH(A214,PT_DIFFERENTIATION_VTAR_ID,0))</f>
        <v>Тариф на транспортировку сточных вод</v>
      </c>
      <c r="G214" s="2433" t="str">
        <f>INDEX(PT_DIFFERENTIATION_NTAR,MATCH(B214,PT_DIFFERENTIATION_NTAR_ID,0))</f>
        <v/>
      </c>
      <c r="H214" s="1868"/>
      <c r="I214" s="1745"/>
      <c r="J214" s="1779"/>
      <c r="K214" s="1784"/>
      <c r="L214" s="1868" t="s">
        <v>322</v>
      </c>
      <c r="M214" s="347"/>
      <c r="N214" s="340"/>
      <c r="O214" s="1630"/>
      <c r="P214" s="1630"/>
      <c r="AH214" s="1637">
        <v>0</v>
      </c>
    </row>
    <row s="1641" customFormat="1" customHeight="1" ht="18.75" hidden="1">
      <c r="A215" s="1786"/>
      <c r="B215" s="1786"/>
      <c r="C215" s="375" t="s">
        <v>1192</v>
      </c>
      <c r="D215" s="2468"/>
      <c r="E215" s="2210"/>
      <c r="F215" s="2389"/>
      <c r="G215" s="2433"/>
      <c r="H215" s="1506"/>
      <c r="I215" s="657" t="s">
        <v>1191</v>
      </c>
      <c r="J215" s="577"/>
      <c r="K215" s="1506"/>
      <c r="L215" s="220"/>
      <c r="M215" s="347"/>
      <c r="N215" s="340"/>
      <c r="O215" s="1630"/>
      <c r="P215" s="1630"/>
      <c r="AH215" s="1637">
        <v>0</v>
      </c>
    </row>
    <row s="1641" customFormat="1" customHeight="1" ht="0.75" hidden="1">
      <c r="A216" s="1786"/>
      <c r="B216" s="1786"/>
      <c r="C216" s="375" t="s">
        <v>1199</v>
      </c>
      <c r="D216" s="2468"/>
      <c r="E216" s="2210"/>
      <c r="F216" s="2389"/>
      <c r="G216" s="406"/>
      <c r="H216" s="1506"/>
      <c r="I216" s="657"/>
      <c r="J216" s="577"/>
      <c r="K216" s="1506"/>
      <c r="L216" s="220"/>
      <c r="M216" s="347"/>
      <c r="N216" s="340"/>
      <c r="O216" s="1630"/>
      <c r="P216" s="1630"/>
      <c r="AH216" s="1637">
        <v>0</v>
      </c>
    </row>
    <row s="1641" customFormat="1" customHeight="1" ht="18.75" hidden="1">
      <c r="A217" s="1786" t="s">
        <v>291</v>
      </c>
      <c r="B217" s="1786" t="s">
        <v>292</v>
      </c>
      <c r="C217" s="375"/>
      <c r="D217" s="2468"/>
      <c r="E217" s="2210"/>
      <c r="F217" s="2389" t="str">
        <f>INDEX(PT_DIFFERENTIATION_VTAR,MATCH(A217,PT_DIFFERENTIATION_VTAR_ID,0))</f>
        <v>Тариф на подключение (технологическое присоединение) к централизованной системе водоотведения</v>
      </c>
      <c r="G217" s="2433" t="str">
        <f>INDEX(PT_DIFFERENTIATION_NTAR,MATCH(B217,PT_DIFFERENTIATION_NTAR_ID,0))</f>
        <v/>
      </c>
      <c r="H217" s="1868"/>
      <c r="I217" s="1745"/>
      <c r="J217" s="1779"/>
      <c r="K217" s="1784"/>
      <c r="L217" s="1868" t="s">
        <v>322</v>
      </c>
      <c r="M217" s="347"/>
      <c r="N217" s="340"/>
      <c r="O217" s="1630"/>
      <c r="P217" s="1630"/>
      <c r="AH217" s="1637">
        <v>0</v>
      </c>
    </row>
    <row s="1641" customFormat="1" customHeight="1" ht="18.75" hidden="1">
      <c r="A218" s="1786"/>
      <c r="B218" s="1786"/>
      <c r="C218" s="375" t="s">
        <v>1192</v>
      </c>
      <c r="D218" s="2468"/>
      <c r="E218" s="2210"/>
      <c r="F218" s="2389"/>
      <c r="G218" s="2433"/>
      <c r="H218" s="1506"/>
      <c r="I218" s="657" t="s">
        <v>1191</v>
      </c>
      <c r="J218" s="577"/>
      <c r="K218" s="1506"/>
      <c r="L218" s="220"/>
      <c r="M218" s="347"/>
      <c r="N218" s="340"/>
      <c r="O218" s="1630"/>
      <c r="P218" s="1630"/>
      <c r="AH218" s="1637">
        <v>0</v>
      </c>
    </row>
    <row s="1641" customFormat="1" customHeight="1" ht="1.05">
      <c r="A219" s="1786"/>
      <c r="B219" s="1786"/>
      <c r="C219" s="375" t="s">
        <v>1199</v>
      </c>
      <c r="D219" s="2468"/>
      <c r="E219" s="2210"/>
      <c r="F219" s="2389"/>
      <c r="G219" s="406"/>
      <c r="H219" s="1506"/>
      <c r="I219" s="657"/>
      <c r="J219" s="577"/>
      <c r="K219" s="1506"/>
      <c r="L219" s="220"/>
      <c r="M219" s="347"/>
      <c r="N219" s="340"/>
      <c r="O219" s="1630"/>
      <c r="P219" s="1630"/>
      <c r="AH219" s="1637">
        <v>1</v>
      </c>
    </row>
    <row customHeight="1" ht="27.299999999999997">
      <c r="A220" s="1786"/>
      <c r="B220" s="1786"/>
      <c r="D220" s="382"/>
      <c r="E220" s="153" t="s">
        <v>113</v>
      </c>
      <c r="F220" s="24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2466"/>
      <c r="H220" s="2466"/>
      <c r="I220" s="2466"/>
      <c r="J220" s="2466"/>
      <c r="K220" s="2466"/>
      <c r="L220" s="2466"/>
      <c r="M220" s="303"/>
      <c r="N220" s="340"/>
      <c r="AH220" s="380">
        <v>26</v>
      </c>
    </row>
    <row s="1641" customFormat="1" customHeight="1" ht="60.75" hidden="1">
      <c r="A221" s="1786" t="s">
        <v>157</v>
      </c>
      <c r="B221" s="1786" t="s">
        <v>158</v>
      </c>
      <c r="C221" s="375"/>
      <c r="D221" s="2468"/>
      <c r="E221" s="2210"/>
      <c r="F221" s="2389"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433" t="str">
        <f>INDEX(PT_DIFFERENTIATION_NTAR,MATCH(B221,PT_DIFFERENTIATION_NTAR_ID,0))</f>
        <v/>
      </c>
      <c r="H221" s="1868"/>
      <c r="I221" s="1745"/>
      <c r="J221" s="1779"/>
      <c r="K221" s="1784"/>
      <c r="L221" s="1868" t="s">
        <v>322</v>
      </c>
      <c r="M221"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21" s="340"/>
      <c r="O221" s="1630"/>
      <c r="P221" s="1630"/>
      <c r="AH221" s="1637">
        <v>0</v>
      </c>
    </row>
    <row s="1641" customFormat="1" customHeight="1" ht="18.75" hidden="1">
      <c r="A222" s="1786"/>
      <c r="B222" s="1786"/>
      <c r="C222" s="375" t="s">
        <v>1192</v>
      </c>
      <c r="D222" s="2468"/>
      <c r="E222" s="2210"/>
      <c r="F222" s="2389"/>
      <c r="G222" s="2433"/>
      <c r="H222" s="1506"/>
      <c r="I222" s="657" t="s">
        <v>1191</v>
      </c>
      <c r="J222" s="577"/>
      <c r="K222" s="1506"/>
      <c r="L222" s="220"/>
      <c r="M222" s="2176"/>
      <c r="N222" s="340"/>
      <c r="O222" s="1630"/>
      <c r="P222" s="1630"/>
      <c r="AH222" s="1637">
        <v>0</v>
      </c>
    </row>
    <row s="1641" customFormat="1" customHeight="1" ht="0.75" hidden="1">
      <c r="A223" s="1786"/>
      <c r="B223" s="1786"/>
      <c r="C223" s="375" t="s">
        <v>1199</v>
      </c>
      <c r="D223" s="2468"/>
      <c r="E223" s="2210"/>
      <c r="F223" s="2389"/>
      <c r="G223" s="406"/>
      <c r="H223" s="1506"/>
      <c r="I223" s="657"/>
      <c r="J223" s="577"/>
      <c r="K223" s="1506"/>
      <c r="L223" s="220"/>
      <c r="M223" s="2176"/>
      <c r="N223" s="340"/>
      <c r="O223" s="1630"/>
      <c r="P223" s="1630"/>
      <c r="AH223" s="1637">
        <v>0</v>
      </c>
    </row>
    <row s="1641" customFormat="1" customHeight="1" ht="45" hidden="1">
      <c r="A224" s="1786" t="s">
        <v>162</v>
      </c>
      <c r="B224" s="1786" t="s">
        <v>163</v>
      </c>
      <c r="C224" s="375"/>
      <c r="D224" s="2468"/>
      <c r="E224" s="2210"/>
      <c r="F224" s="2389" t="str">
        <f>INDEX(PT_DIFFERENTIATION_VTAR,MATCH(A224,PT_DIFFERENTIATION_VTAR_ID,0))</f>
        <v/>
      </c>
      <c r="G224" s="2433" t="str">
        <f>INDEX(PT_DIFFERENTIATION_NTAR,MATCH(B224,PT_DIFFERENTIATION_NTAR_ID,0))</f>
        <v/>
      </c>
      <c r="H224" s="1868"/>
      <c r="I224" s="1745"/>
      <c r="J224" s="1779"/>
      <c r="K224" s="1784"/>
      <c r="L224" s="1868" t="s">
        <v>322</v>
      </c>
      <c r="M224" s="2177"/>
      <c r="N224" s="340"/>
      <c r="O224" s="1630"/>
      <c r="P224" s="1630"/>
      <c r="AH224" s="1637">
        <v>0</v>
      </c>
    </row>
    <row s="1641" customFormat="1" customHeight="1" ht="18.75" hidden="1">
      <c r="A225" s="1786"/>
      <c r="B225" s="1786"/>
      <c r="C225" s="375" t="s">
        <v>1192</v>
      </c>
      <c r="D225" s="2468"/>
      <c r="E225" s="2210"/>
      <c r="F225" s="2389"/>
      <c r="G225" s="2433"/>
      <c r="H225" s="1506"/>
      <c r="I225" s="657" t="s">
        <v>1191</v>
      </c>
      <c r="J225" s="577"/>
      <c r="K225" s="1506"/>
      <c r="L225" s="220"/>
      <c r="M225" s="1867"/>
      <c r="N225" s="340"/>
      <c r="O225" s="1630"/>
      <c r="P225" s="1630"/>
      <c r="AH225" s="1637">
        <v>0</v>
      </c>
    </row>
    <row s="1641" customFormat="1" customHeight="1" ht="0.75" hidden="1">
      <c r="A226" s="1786"/>
      <c r="B226" s="1786"/>
      <c r="C226" s="375" t="s">
        <v>1199</v>
      </c>
      <c r="D226" s="2468"/>
      <c r="E226" s="2210"/>
      <c r="F226" s="2389"/>
      <c r="G226" s="406"/>
      <c r="H226" s="1506"/>
      <c r="I226" s="657"/>
      <c r="J226" s="577"/>
      <c r="K226" s="1506"/>
      <c r="L226" s="220"/>
      <c r="M226" s="347"/>
      <c r="N226" s="340"/>
      <c r="O226" s="1630"/>
      <c r="P226" s="1630"/>
      <c r="AH226" s="1637">
        <v>0</v>
      </c>
    </row>
    <row s="1641" customFormat="1" customHeight="1" ht="45" hidden="1">
      <c r="A227" s="1786" t="s">
        <v>169</v>
      </c>
      <c r="B227" s="1786" t="s">
        <v>170</v>
      </c>
      <c r="C227" s="375"/>
      <c r="D227" s="2468"/>
      <c r="E227" s="2210"/>
      <c r="F227" s="2389"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433" t="str">
        <f>INDEX(PT_DIFFERENTIATION_NTAR,MATCH(B227,PT_DIFFERENTIATION_NTAR_ID,0))</f>
        <v/>
      </c>
      <c r="H227" s="1868"/>
      <c r="I227" s="1745"/>
      <c r="J227" s="1779"/>
      <c r="K227" s="1784"/>
      <c r="L227" s="1868" t="s">
        <v>322</v>
      </c>
      <c r="M227" s="347"/>
      <c r="N227" s="340"/>
      <c r="O227" s="1630"/>
      <c r="P227" s="1630"/>
      <c r="AH227" s="1637">
        <v>0</v>
      </c>
    </row>
    <row s="1641" customFormat="1" customHeight="1" ht="18.75" hidden="1">
      <c r="A228" s="1786"/>
      <c r="B228" s="1786"/>
      <c r="C228" s="375" t="s">
        <v>1192</v>
      </c>
      <c r="D228" s="2468"/>
      <c r="E228" s="2210"/>
      <c r="F228" s="2389"/>
      <c r="G228" s="2433"/>
      <c r="H228" s="1506"/>
      <c r="I228" s="657" t="s">
        <v>1191</v>
      </c>
      <c r="J228" s="577"/>
      <c r="K228" s="1506"/>
      <c r="L228" s="220"/>
      <c r="M228" s="347"/>
      <c r="N228" s="340"/>
      <c r="O228" s="1630"/>
      <c r="P228" s="1630"/>
      <c r="AH228" s="1637">
        <v>0</v>
      </c>
    </row>
    <row s="1641" customFormat="1" customHeight="1" ht="0.75" hidden="1">
      <c r="A229" s="1786"/>
      <c r="B229" s="1786"/>
      <c r="C229" s="375" t="s">
        <v>1199</v>
      </c>
      <c r="D229" s="2468"/>
      <c r="E229" s="2210"/>
      <c r="F229" s="2389"/>
      <c r="G229" s="406"/>
      <c r="H229" s="1506"/>
      <c r="I229" s="657"/>
      <c r="J229" s="577"/>
      <c r="K229" s="1506"/>
      <c r="L229" s="220"/>
      <c r="M229" s="347"/>
      <c r="N229" s="340"/>
      <c r="O229" s="1630"/>
      <c r="P229" s="1630"/>
      <c r="AH229" s="1637">
        <v>0</v>
      </c>
    </row>
    <row s="1641" customFormat="1" customHeight="1" ht="45" hidden="1">
      <c r="A230" s="1786" t="s">
        <v>175</v>
      </c>
      <c r="B230" s="1786" t="s">
        <v>176</v>
      </c>
      <c r="C230" s="375"/>
      <c r="D230" s="2468"/>
      <c r="E230" s="2210"/>
      <c r="F230" s="2389"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433" t="str">
        <f>INDEX(PT_DIFFERENTIATION_NTAR,MATCH(B230,PT_DIFFERENTIATION_NTAR_ID,0))</f>
        <v/>
      </c>
      <c r="H230" s="1868"/>
      <c r="I230" s="1745"/>
      <c r="J230" s="1779"/>
      <c r="K230" s="1784"/>
      <c r="L230" s="1868" t="s">
        <v>322</v>
      </c>
      <c r="M230" s="347"/>
      <c r="N230" s="340"/>
      <c r="O230" s="1630"/>
      <c r="P230" s="1630"/>
      <c r="AH230" s="1637">
        <v>0</v>
      </c>
    </row>
    <row s="1641" customFormat="1" customHeight="1" ht="18.75" hidden="1">
      <c r="A231" s="1786"/>
      <c r="B231" s="1786"/>
      <c r="C231" s="375" t="s">
        <v>1192</v>
      </c>
      <c r="D231" s="2468"/>
      <c r="E231" s="2210"/>
      <c r="F231" s="2389"/>
      <c r="G231" s="2433"/>
      <c r="H231" s="1506"/>
      <c r="I231" s="657" t="s">
        <v>1191</v>
      </c>
      <c r="J231" s="577"/>
      <c r="K231" s="1506"/>
      <c r="L231" s="220"/>
      <c r="M231" s="347"/>
      <c r="N231" s="340"/>
      <c r="O231" s="1630"/>
      <c r="P231" s="1630"/>
      <c r="AH231" s="1637">
        <v>0</v>
      </c>
    </row>
    <row s="1641" customFormat="1" customHeight="1" ht="0.75" hidden="1">
      <c r="A232" s="1786"/>
      <c r="B232" s="1786"/>
      <c r="C232" s="375" t="s">
        <v>1199</v>
      </c>
      <c r="D232" s="2468"/>
      <c r="E232" s="2210"/>
      <c r="F232" s="2389"/>
      <c r="G232" s="406"/>
      <c r="H232" s="1506"/>
      <c r="I232" s="657"/>
      <c r="J232" s="577"/>
      <c r="K232" s="1506"/>
      <c r="L232" s="220"/>
      <c r="M232" s="347"/>
      <c r="N232" s="340"/>
      <c r="O232" s="1630"/>
      <c r="P232" s="1630"/>
      <c r="AH232" s="1637">
        <v>0</v>
      </c>
    </row>
    <row s="1641" customFormat="1" customHeight="1" ht="18.75" hidden="1">
      <c r="A233" s="1786" t="s">
        <v>181</v>
      </c>
      <c r="B233" s="1786" t="s">
        <v>182</v>
      </c>
      <c r="C233" s="375"/>
      <c r="D233" s="2468"/>
      <c r="E233" s="2210"/>
      <c r="F233" s="2389" t="str">
        <f>INDEX(PT_DIFFERENTIATION_VTAR,MATCH(A233,PT_DIFFERENTIATION_VTAR_ID,0))</f>
        <v>Тарифы на услуги по передаче тепловой энергии</v>
      </c>
      <c r="G233" s="2433" t="str">
        <f>INDEX(PT_DIFFERENTIATION_NTAR,MATCH(B233,PT_DIFFERENTIATION_NTAR_ID,0))</f>
        <v/>
      </c>
      <c r="H233" s="1868"/>
      <c r="I233" s="1745"/>
      <c r="J233" s="1779"/>
      <c r="K233" s="1784"/>
      <c r="L233" s="1868" t="s">
        <v>322</v>
      </c>
      <c r="M233" s="347"/>
      <c r="N233" s="340"/>
      <c r="O233" s="1630"/>
      <c r="P233" s="1630"/>
      <c r="AH233" s="1637">
        <v>0</v>
      </c>
    </row>
    <row s="1641" customFormat="1" customHeight="1" ht="18.75" hidden="1">
      <c r="A234" s="1786"/>
      <c r="B234" s="1786"/>
      <c r="C234" s="375" t="s">
        <v>1192</v>
      </c>
      <c r="D234" s="2468"/>
      <c r="E234" s="2210"/>
      <c r="F234" s="2389"/>
      <c r="G234" s="2433"/>
      <c r="H234" s="1506"/>
      <c r="I234" s="657" t="s">
        <v>1191</v>
      </c>
      <c r="J234" s="577"/>
      <c r="K234" s="1506"/>
      <c r="L234" s="220"/>
      <c r="M234" s="347"/>
      <c r="N234" s="340"/>
      <c r="O234" s="1630"/>
      <c r="P234" s="1630"/>
      <c r="AH234" s="1637">
        <v>0</v>
      </c>
    </row>
    <row s="1641" customFormat="1" customHeight="1" ht="0.75" hidden="1">
      <c r="A235" s="1786"/>
      <c r="B235" s="1786"/>
      <c r="C235" s="375" t="s">
        <v>1199</v>
      </c>
      <c r="D235" s="2468"/>
      <c r="E235" s="2210"/>
      <c r="F235" s="2389"/>
      <c r="G235" s="406"/>
      <c r="H235" s="1506"/>
      <c r="I235" s="657"/>
      <c r="J235" s="577"/>
      <c r="K235" s="1506"/>
      <c r="L235" s="220"/>
      <c r="M235" s="347"/>
      <c r="N235" s="340"/>
      <c r="O235" s="1630"/>
      <c r="P235" s="1630"/>
      <c r="AH235" s="1637">
        <v>0</v>
      </c>
    </row>
    <row s="1641" customFormat="1" customHeight="1" ht="18.75" hidden="1">
      <c r="A236" s="1786" t="s">
        <v>187</v>
      </c>
      <c r="B236" s="1786" t="s">
        <v>188</v>
      </c>
      <c r="C236" s="375"/>
      <c r="D236" s="2468"/>
      <c r="E236" s="2210"/>
      <c r="F236" s="2389" t="str">
        <f>INDEX(PT_DIFFERENTIATION_VTAR,MATCH(A236,PT_DIFFERENTIATION_VTAR_ID,0))</f>
        <v>Тарифы на услуги по передаче теплоносителя</v>
      </c>
      <c r="G236" s="2433" t="str">
        <f>INDEX(PT_DIFFERENTIATION_NTAR,MATCH(B236,PT_DIFFERENTIATION_NTAR_ID,0))</f>
        <v/>
      </c>
      <c r="H236" s="1868"/>
      <c r="I236" s="1745"/>
      <c r="J236" s="1779"/>
      <c r="K236" s="1784"/>
      <c r="L236" s="1868" t="s">
        <v>322</v>
      </c>
      <c r="M236" s="347"/>
      <c r="N236" s="340"/>
      <c r="O236" s="1630"/>
      <c r="P236" s="1630"/>
      <c r="AH236" s="1637">
        <v>0</v>
      </c>
    </row>
    <row s="1641" customFormat="1" customHeight="1" ht="18.75" hidden="1">
      <c r="A237" s="1786"/>
      <c r="B237" s="1786"/>
      <c r="C237" s="375" t="s">
        <v>1192</v>
      </c>
      <c r="D237" s="2468"/>
      <c r="E237" s="2210"/>
      <c r="F237" s="2389"/>
      <c r="G237" s="2433"/>
      <c r="H237" s="1506"/>
      <c r="I237" s="657" t="s">
        <v>1191</v>
      </c>
      <c r="J237" s="577"/>
      <c r="K237" s="1506"/>
      <c r="L237" s="220"/>
      <c r="M237" s="347"/>
      <c r="N237" s="340"/>
      <c r="O237" s="1630"/>
      <c r="P237" s="1630"/>
      <c r="AH237" s="1637">
        <v>0</v>
      </c>
    </row>
    <row s="1641" customFormat="1" customHeight="1" ht="0.75" hidden="1">
      <c r="A238" s="1786"/>
      <c r="B238" s="1786"/>
      <c r="C238" s="375" t="s">
        <v>1199</v>
      </c>
      <c r="D238" s="2468"/>
      <c r="E238" s="2210"/>
      <c r="F238" s="2389"/>
      <c r="G238" s="406"/>
      <c r="H238" s="1506"/>
      <c r="I238" s="657"/>
      <c r="J238" s="577"/>
      <c r="K238" s="1506"/>
      <c r="L238" s="220"/>
      <c r="M238" s="347"/>
      <c r="N238" s="340"/>
      <c r="O238" s="1630"/>
      <c r="P238" s="1630"/>
      <c r="AH238" s="1637">
        <v>0</v>
      </c>
    </row>
    <row s="1641" customFormat="1" customHeight="1" ht="18.75" hidden="1">
      <c r="A239" s="1786" t="s">
        <v>193</v>
      </c>
      <c r="B239" s="1786" t="s">
        <v>194</v>
      </c>
      <c r="C239" s="375"/>
      <c r="D239" s="2468"/>
      <c r="E239" s="2210"/>
      <c r="F239" s="2389"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433" t="str">
        <f>INDEX(PT_DIFFERENTIATION_NTAR,MATCH(B239,PT_DIFFERENTIATION_NTAR_ID,0))</f>
        <v/>
      </c>
      <c r="H239" s="1868"/>
      <c r="I239" s="1745"/>
      <c r="J239" s="1779"/>
      <c r="K239" s="1784"/>
      <c r="L239" s="1868" t="s">
        <v>322</v>
      </c>
      <c r="M239" s="347"/>
      <c r="N239" s="340"/>
      <c r="O239" s="1630"/>
      <c r="P239" s="1630"/>
      <c r="AH239" s="1637">
        <v>0</v>
      </c>
    </row>
    <row s="1641" customFormat="1" customHeight="1" ht="18.75" hidden="1">
      <c r="A240" s="1786"/>
      <c r="B240" s="1786"/>
      <c r="C240" s="375" t="s">
        <v>1192</v>
      </c>
      <c r="D240" s="2468"/>
      <c r="E240" s="2210"/>
      <c r="F240" s="2389"/>
      <c r="G240" s="2433"/>
      <c r="H240" s="1506"/>
      <c r="I240" s="657" t="s">
        <v>1191</v>
      </c>
      <c r="J240" s="577"/>
      <c r="K240" s="1506"/>
      <c r="L240" s="220"/>
      <c r="M240" s="347"/>
      <c r="N240" s="340"/>
      <c r="O240" s="1630"/>
      <c r="P240" s="1630"/>
      <c r="AH240" s="1637">
        <v>0</v>
      </c>
    </row>
    <row s="1641" customFormat="1" customHeight="1" ht="0.75" hidden="1">
      <c r="A241" s="1786"/>
      <c r="B241" s="1786"/>
      <c r="C241" s="375" t="s">
        <v>1199</v>
      </c>
      <c r="D241" s="2468"/>
      <c r="E241" s="2210"/>
      <c r="F241" s="2389"/>
      <c r="G241" s="406"/>
      <c r="H241" s="1506"/>
      <c r="I241" s="657"/>
      <c r="J241" s="577"/>
      <c r="K241" s="1506"/>
      <c r="L241" s="220"/>
      <c r="M241" s="347"/>
      <c r="N241" s="340"/>
      <c r="O241" s="1630"/>
      <c r="P241" s="1630"/>
      <c r="AH241" s="1637">
        <v>0</v>
      </c>
    </row>
    <row s="1641" customFormat="1" customHeight="1" ht="18.75" hidden="1">
      <c r="A242" s="1786" t="s">
        <v>199</v>
      </c>
      <c r="B242" s="1786" t="s">
        <v>200</v>
      </c>
      <c r="C242" s="375"/>
      <c r="D242" s="2468"/>
      <c r="E242" s="2210"/>
      <c r="F242" s="2389" t="str">
        <f>INDEX(PT_DIFFERENTIATION_VTAR,MATCH(A242,PT_DIFFERENTIATION_VTAR_ID,0))</f>
        <v>Плата за подключение (технологическое присоединение) к системе теплоснабжения</v>
      </c>
      <c r="G242" s="2433" t="str">
        <f>INDEX(PT_DIFFERENTIATION_NTAR,MATCH(B242,PT_DIFFERENTIATION_NTAR_ID,0))</f>
        <v/>
      </c>
      <c r="H242" s="1868"/>
      <c r="I242" s="1745"/>
      <c r="J242" s="1779"/>
      <c r="K242" s="1784"/>
      <c r="L242" s="1868" t="s">
        <v>322</v>
      </c>
      <c r="M242" s="347"/>
      <c r="N242" s="340"/>
      <c r="O242" s="1630"/>
      <c r="P242" s="1630"/>
      <c r="AH242" s="1637">
        <v>0</v>
      </c>
    </row>
    <row s="1641" customFormat="1" customHeight="1" ht="18.75" hidden="1">
      <c r="A243" s="1786"/>
      <c r="B243" s="1786"/>
      <c r="C243" s="375" t="s">
        <v>1192</v>
      </c>
      <c r="D243" s="2468"/>
      <c r="E243" s="2210"/>
      <c r="F243" s="2389"/>
      <c r="G243" s="2433"/>
      <c r="H243" s="1506"/>
      <c r="I243" s="657" t="s">
        <v>1191</v>
      </c>
      <c r="J243" s="577"/>
      <c r="K243" s="1506"/>
      <c r="L243" s="220"/>
      <c r="M243" s="347"/>
      <c r="N243" s="340"/>
      <c r="O243" s="1630"/>
      <c r="P243" s="1630"/>
      <c r="AH243" s="1637">
        <v>0</v>
      </c>
    </row>
    <row s="1641" customFormat="1" customHeight="1" ht="0.75" hidden="1">
      <c r="A244" s="1786"/>
      <c r="B244" s="1786"/>
      <c r="C244" s="375" t="s">
        <v>1199</v>
      </c>
      <c r="D244" s="2468"/>
      <c r="E244" s="2210"/>
      <c r="F244" s="2389"/>
      <c r="G244" s="406"/>
      <c r="H244" s="1506"/>
      <c r="I244" s="657"/>
      <c r="J244" s="577"/>
      <c r="K244" s="1506"/>
      <c r="L244" s="220"/>
      <c r="M244" s="347"/>
      <c r="N244" s="340"/>
      <c r="O244" s="1630"/>
      <c r="P244" s="1630"/>
      <c r="AH244" s="1637">
        <v>0</v>
      </c>
    </row>
    <row s="1641" customFormat="1" customHeight="1" ht="18.75" hidden="1">
      <c r="A245" s="1786" t="s">
        <v>205</v>
      </c>
      <c r="B245" s="1786" t="s">
        <v>206</v>
      </c>
      <c r="C245" s="375"/>
      <c r="D245" s="2468"/>
      <c r="E245" s="2210"/>
      <c r="F245" s="2389" t="str">
        <f>INDEX(PT_DIFFERENTIATION_VTAR,MATCH(A245,PT_DIFFERENTIATION_VTAR_ID,0))</f>
        <v>Плата за подключение (технологическое присоединение) к системе теплоснабжения (индивидуальная)</v>
      </c>
      <c r="G245" s="2433" t="str">
        <f>INDEX(PT_DIFFERENTIATION_NTAR,MATCH(B245,PT_DIFFERENTIATION_NTAR_ID,0))</f>
        <v/>
      </c>
      <c r="H245" s="1995"/>
      <c r="I245" s="1745"/>
      <c r="J245" s="1779"/>
      <c r="K245" s="1784"/>
      <c r="L245" s="1995" t="s">
        <v>322</v>
      </c>
      <c r="M245" s="347"/>
      <c r="N245" s="340"/>
      <c r="O245" s="1630"/>
      <c r="P245" s="1630"/>
      <c r="AH245" s="1637">
        <v>0</v>
      </c>
    </row>
    <row s="1641" customFormat="1" customHeight="1" ht="18.75" hidden="1">
      <c r="A246" s="1786"/>
      <c r="B246" s="1786"/>
      <c r="C246" s="375" t="s">
        <v>1192</v>
      </c>
      <c r="D246" s="2468"/>
      <c r="E246" s="2210"/>
      <c r="F246" s="2389"/>
      <c r="G246" s="2433"/>
      <c r="H246" s="1506"/>
      <c r="I246" s="657" t="s">
        <v>1191</v>
      </c>
      <c r="J246" s="577"/>
      <c r="K246" s="1506"/>
      <c r="L246" s="220"/>
      <c r="M246" s="347"/>
      <c r="N246" s="340"/>
      <c r="O246" s="1630"/>
      <c r="P246" s="1630"/>
      <c r="AH246" s="1637">
        <v>0</v>
      </c>
    </row>
    <row s="1641" customFormat="1" customHeight="1" ht="0.75" hidden="1">
      <c r="A247" s="1786"/>
      <c r="B247" s="1786"/>
      <c r="C247" s="375" t="s">
        <v>1199</v>
      </c>
      <c r="D247" s="2468"/>
      <c r="E247" s="2210"/>
      <c r="F247" s="2389"/>
      <c r="G247" s="406"/>
      <c r="H247" s="1506"/>
      <c r="I247" s="657"/>
      <c r="J247" s="577"/>
      <c r="K247" s="1506"/>
      <c r="L247" s="220"/>
      <c r="M247" s="347"/>
      <c r="N247" s="340"/>
      <c r="O247" s="1630"/>
      <c r="P247" s="1630"/>
      <c r="AH247" s="1637">
        <v>0</v>
      </c>
    </row>
    <row s="1641" customFormat="1" customHeight="1" ht="18.75" hidden="1">
      <c r="A248" s="1786" t="s">
        <v>225</v>
      </c>
      <c r="B248" s="1786" t="s">
        <v>226</v>
      </c>
      <c r="C248" s="375"/>
      <c r="D248" s="2468"/>
      <c r="E248" s="2210"/>
      <c r="F248" s="2389" t="str">
        <f>INDEX(PT_DIFFERENTIATION_VTAR,MATCH(A248,PT_DIFFERENTIATION_VTAR_ID,0))</f>
        <v>Тариф на питьевую воду (питьевое водоснабжение)</v>
      </c>
      <c r="G248" s="2433" t="str">
        <f>INDEX(PT_DIFFERENTIATION_NTAR,MATCH(B248,PT_DIFFERENTIATION_NTAR_ID,0))</f>
        <v/>
      </c>
      <c r="H248" s="1868"/>
      <c r="I248" s="1745"/>
      <c r="J248" s="1779"/>
      <c r="K248" s="1784"/>
      <c r="L248" s="1868" t="s">
        <v>322</v>
      </c>
      <c r="M248" s="347"/>
      <c r="N248" s="340"/>
      <c r="O248" s="1630"/>
      <c r="P248" s="1630"/>
      <c r="AH248" s="1637">
        <v>0</v>
      </c>
    </row>
    <row s="1641" customFormat="1" customHeight="1" ht="18.75" hidden="1">
      <c r="A249" s="1786"/>
      <c r="B249" s="1786"/>
      <c r="C249" s="375" t="s">
        <v>1192</v>
      </c>
      <c r="D249" s="2468"/>
      <c r="E249" s="2210"/>
      <c r="F249" s="2389"/>
      <c r="G249" s="2433"/>
      <c r="H249" s="1506"/>
      <c r="I249" s="657" t="s">
        <v>1191</v>
      </c>
      <c r="J249" s="577"/>
      <c r="K249" s="1506"/>
      <c r="L249" s="220"/>
      <c r="M249" s="347"/>
      <c r="N249" s="340"/>
      <c r="O249" s="1630"/>
      <c r="P249" s="1630"/>
      <c r="AH249" s="1637">
        <v>0</v>
      </c>
    </row>
    <row s="1641" customFormat="1" customHeight="1" ht="0.75" hidden="1">
      <c r="A250" s="1786"/>
      <c r="B250" s="1786"/>
      <c r="C250" s="375" t="s">
        <v>1199</v>
      </c>
      <c r="D250" s="2468"/>
      <c r="E250" s="2210"/>
      <c r="F250" s="2389"/>
      <c r="G250" s="406"/>
      <c r="H250" s="1506"/>
      <c r="I250" s="657"/>
      <c r="J250" s="577"/>
      <c r="K250" s="1506"/>
      <c r="L250" s="220"/>
      <c r="M250" s="347"/>
      <c r="N250" s="340"/>
      <c r="O250" s="1630"/>
      <c r="P250" s="1630"/>
      <c r="AH250" s="1637">
        <v>0</v>
      </c>
    </row>
    <row s="1641" customFormat="1" customHeight="1" ht="18.75" hidden="1">
      <c r="A251" s="1786" t="s">
        <v>230</v>
      </c>
      <c r="B251" s="1786" t="s">
        <v>231</v>
      </c>
      <c r="C251" s="375"/>
      <c r="D251" s="2468"/>
      <c r="E251" s="2210"/>
      <c r="F251" s="2389" t="str">
        <f>INDEX(PT_DIFFERENTIATION_VTAR,MATCH(A251,PT_DIFFERENTIATION_VTAR_ID,0))</f>
        <v>Тариф на техническую воду</v>
      </c>
      <c r="G251" s="2433" t="str">
        <f>INDEX(PT_DIFFERENTIATION_NTAR,MATCH(B251,PT_DIFFERENTIATION_NTAR_ID,0))</f>
        <v/>
      </c>
      <c r="H251" s="1868"/>
      <c r="I251" s="1745"/>
      <c r="J251" s="1779"/>
      <c r="K251" s="1784"/>
      <c r="L251" s="1868" t="s">
        <v>322</v>
      </c>
      <c r="M251" s="347"/>
      <c r="N251" s="340"/>
      <c r="O251" s="1630"/>
      <c r="P251" s="1630"/>
      <c r="AH251" s="1637">
        <v>0</v>
      </c>
    </row>
    <row s="1641" customFormat="1" customHeight="1" ht="18.75" hidden="1">
      <c r="A252" s="1786"/>
      <c r="B252" s="1786"/>
      <c r="C252" s="375" t="s">
        <v>1192</v>
      </c>
      <c r="D252" s="2468"/>
      <c r="E252" s="2210"/>
      <c r="F252" s="2389"/>
      <c r="G252" s="2433"/>
      <c r="H252" s="1506"/>
      <c r="I252" s="657" t="s">
        <v>1191</v>
      </c>
      <c r="J252" s="577"/>
      <c r="K252" s="1506"/>
      <c r="L252" s="220"/>
      <c r="M252" s="347"/>
      <c r="N252" s="340"/>
      <c r="O252" s="1630"/>
      <c r="P252" s="1630"/>
      <c r="AH252" s="1637">
        <v>0</v>
      </c>
    </row>
    <row s="1641" customFormat="1" customHeight="1" ht="0.75" hidden="1">
      <c r="A253" s="1786"/>
      <c r="B253" s="1786"/>
      <c r="C253" s="375" t="s">
        <v>1199</v>
      </c>
      <c r="D253" s="2468"/>
      <c r="E253" s="2210"/>
      <c r="F253" s="2389"/>
      <c r="G253" s="406"/>
      <c r="H253" s="1506"/>
      <c r="I253" s="657"/>
      <c r="J253" s="577"/>
      <c r="K253" s="1506"/>
      <c r="L253" s="220"/>
      <c r="M253" s="347"/>
      <c r="N253" s="340"/>
      <c r="O253" s="1630"/>
      <c r="P253" s="1630"/>
      <c r="AH253" s="1637">
        <v>0</v>
      </c>
    </row>
    <row s="1641" customFormat="1" customHeight="1" ht="18.75" hidden="1">
      <c r="A254" s="1786" t="s">
        <v>235</v>
      </c>
      <c r="B254" s="1786" t="s">
        <v>236</v>
      </c>
      <c r="C254" s="375"/>
      <c r="D254" s="2468"/>
      <c r="E254" s="2210"/>
      <c r="F254" s="2389" t="str">
        <f>INDEX(PT_DIFFERENTIATION_VTAR,MATCH(A254,PT_DIFFERENTIATION_VTAR_ID,0))</f>
        <v>Тариф на транспортировку воды</v>
      </c>
      <c r="G254" s="2433" t="str">
        <f>INDEX(PT_DIFFERENTIATION_NTAR,MATCH(B254,PT_DIFFERENTIATION_NTAR_ID,0))</f>
        <v/>
      </c>
      <c r="H254" s="1868"/>
      <c r="I254" s="1745"/>
      <c r="J254" s="1779"/>
      <c r="K254" s="1784"/>
      <c r="L254" s="1868" t="s">
        <v>322</v>
      </c>
      <c r="M254" s="347"/>
      <c r="N254" s="340"/>
      <c r="O254" s="1630"/>
      <c r="P254" s="1630"/>
      <c r="AH254" s="1637">
        <v>0</v>
      </c>
    </row>
    <row s="1641" customFormat="1" customHeight="1" ht="18.75" hidden="1">
      <c r="A255" s="1786"/>
      <c r="B255" s="1786"/>
      <c r="C255" s="375" t="s">
        <v>1192</v>
      </c>
      <c r="D255" s="2468"/>
      <c r="E255" s="2210"/>
      <c r="F255" s="2389"/>
      <c r="G255" s="2433"/>
      <c r="H255" s="1506"/>
      <c r="I255" s="657" t="s">
        <v>1191</v>
      </c>
      <c r="J255" s="577"/>
      <c r="K255" s="1506"/>
      <c r="L255" s="220"/>
      <c r="M255" s="347"/>
      <c r="N255" s="340"/>
      <c r="O255" s="1630"/>
      <c r="P255" s="1630"/>
      <c r="AH255" s="1637">
        <v>0</v>
      </c>
    </row>
    <row s="1641" customFormat="1" customHeight="1" ht="0.75" hidden="1">
      <c r="A256" s="1786"/>
      <c r="B256" s="1786"/>
      <c r="C256" s="375" t="s">
        <v>1199</v>
      </c>
      <c r="D256" s="2468"/>
      <c r="E256" s="2210"/>
      <c r="F256" s="2389"/>
      <c r="G256" s="406"/>
      <c r="H256" s="1506"/>
      <c r="I256" s="657"/>
      <c r="J256" s="577"/>
      <c r="K256" s="1506"/>
      <c r="L256" s="220"/>
      <c r="M256" s="347"/>
      <c r="N256" s="340"/>
      <c r="O256" s="1630"/>
      <c r="P256" s="1630"/>
      <c r="AH256" s="1637">
        <v>0</v>
      </c>
    </row>
    <row s="1641" customFormat="1" customHeight="1" ht="18.75" hidden="1">
      <c r="A257" s="1786" t="s">
        <v>240</v>
      </c>
      <c r="B257" s="1786" t="s">
        <v>241</v>
      </c>
      <c r="C257" s="375"/>
      <c r="D257" s="2468"/>
      <c r="E257" s="2210"/>
      <c r="F257" s="2389" t="str">
        <f>INDEX(PT_DIFFERENTIATION_VTAR,MATCH(A257,PT_DIFFERENTIATION_VTAR_ID,0))</f>
        <v>Тариф на подвоз воды</v>
      </c>
      <c r="G257" s="2433" t="str">
        <f>INDEX(PT_DIFFERENTIATION_NTAR,MATCH(B257,PT_DIFFERENTIATION_NTAR_ID,0))</f>
        <v/>
      </c>
      <c r="H257" s="1868"/>
      <c r="I257" s="1745"/>
      <c r="J257" s="1779"/>
      <c r="K257" s="1784"/>
      <c r="L257" s="1868" t="s">
        <v>322</v>
      </c>
      <c r="M257" s="347"/>
      <c r="N257" s="340"/>
      <c r="O257" s="1630"/>
      <c r="P257" s="1630"/>
      <c r="AH257" s="1637">
        <v>0</v>
      </c>
    </row>
    <row s="1641" customFormat="1" customHeight="1" ht="18.75" hidden="1">
      <c r="A258" s="1786"/>
      <c r="B258" s="1786"/>
      <c r="C258" s="375" t="s">
        <v>1192</v>
      </c>
      <c r="D258" s="2468"/>
      <c r="E258" s="2210"/>
      <c r="F258" s="2389"/>
      <c r="G258" s="2433"/>
      <c r="H258" s="1506"/>
      <c r="I258" s="657" t="s">
        <v>1191</v>
      </c>
      <c r="J258" s="577"/>
      <c r="K258" s="1506"/>
      <c r="L258" s="220"/>
      <c r="M258" s="347"/>
      <c r="N258" s="340"/>
      <c r="O258" s="1630"/>
      <c r="P258" s="1630"/>
      <c r="AH258" s="1637">
        <v>0</v>
      </c>
    </row>
    <row s="1641" customFormat="1" customHeight="1" ht="0.75" hidden="1">
      <c r="A259" s="1786"/>
      <c r="B259" s="1786"/>
      <c r="C259" s="375" t="s">
        <v>1199</v>
      </c>
      <c r="D259" s="2468"/>
      <c r="E259" s="2210"/>
      <c r="F259" s="2389"/>
      <c r="G259" s="406"/>
      <c r="H259" s="1506"/>
      <c r="I259" s="657"/>
      <c r="J259" s="577"/>
      <c r="K259" s="1506"/>
      <c r="L259" s="220"/>
      <c r="M259" s="347"/>
      <c r="N259" s="340"/>
      <c r="O259" s="1630"/>
      <c r="P259" s="1630"/>
      <c r="AH259" s="1637">
        <v>0</v>
      </c>
    </row>
    <row s="1641" customFormat="1" customHeight="1" ht="18.75" hidden="1">
      <c r="A260" s="1786" t="s">
        <v>247</v>
      </c>
      <c r="B260" s="1786" t="s">
        <v>248</v>
      </c>
      <c r="C260" s="375"/>
      <c r="D260" s="2468"/>
      <c r="E260" s="2210"/>
      <c r="F260" s="2389"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433" t="str">
        <f>INDEX(PT_DIFFERENTIATION_NTAR,MATCH(B260,PT_DIFFERENTIATION_NTAR_ID,0))</f>
        <v>Ставка тарифа на подключаемую нагрузку к централизованной системе холодного водоснабжения АО "ДГК" СП "Нерюнгринская ГРЭС" на 2026 год </v>
      </c>
      <c r="H260" s="1868"/>
      <c r="I260" s="1745"/>
      <c r="J260" s="1779"/>
      <c r="K260" s="1784"/>
      <c r="L260" s="1868" t="s">
        <v>322</v>
      </c>
      <c r="M260" s="347"/>
      <c r="N260" s="340"/>
      <c r="O260" s="1630"/>
      <c r="P260" s="1630"/>
      <c r="AH260" s="1637">
        <v>0</v>
      </c>
    </row>
    <row s="1641" customFormat="1" customHeight="1" ht="18.75" hidden="1">
      <c r="A261" s="1786"/>
      <c r="B261" s="1786"/>
      <c r="C261" s="375" t="s">
        <v>1192</v>
      </c>
      <c r="D261" s="2468"/>
      <c r="E261" s="2210"/>
      <c r="F261" s="2389"/>
      <c r="G261" s="2433"/>
      <c r="H261" s="1506"/>
      <c r="I261" s="657" t="s">
        <v>1191</v>
      </c>
      <c r="J261" s="577"/>
      <c r="K261" s="1506"/>
      <c r="L261" s="220"/>
      <c r="M261" s="347"/>
      <c r="N261" s="340"/>
      <c r="O261" s="1630"/>
      <c r="P261" s="1630"/>
      <c r="AH261" s="1637">
        <v>0</v>
      </c>
    </row>
    <row s="1641" customFormat="1" customHeight="1" ht="18.75">
      <c r="A262" s="1829" t="s">
        <v>247</v>
      </c>
      <c r="B262" s="1829" t="s">
        <v>255</v>
      </c>
      <c r="C262" s="1693"/>
      <c r="D262" s="350"/>
      <c r="E262" s="1037"/>
      <c r="F262" s="1037"/>
      <c r="G262" s="2433" t="str">
        <f>INDEX(PT_DIFFERENTIATION_NTAR,MATCH(B262,PT_DIFFERENTIATION_NTAR_ID,0))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(без учета расходов на благоустройство)</v>
      </c>
      <c r="H262" s="2277"/>
      <c r="I262" s="1745"/>
      <c r="J262" s="1779"/>
      <c r="K262" s="1784"/>
      <c r="L262" s="2277" t="s">
        <v>322</v>
      </c>
      <c r="M262" s="2324"/>
      <c r="N262" s="624"/>
      <c r="O262" s="1630"/>
      <c r="P262" s="1630"/>
      <c r="Q262" s="1641"/>
      <c r="R262" s="1641"/>
      <c r="S262" s="1641"/>
      <c r="T262" s="1641"/>
      <c r="U262" s="1641"/>
      <c r="V262" s="1641"/>
      <c r="W262" s="1641"/>
      <c r="X262" s="1641"/>
      <c r="Y262" s="1641"/>
      <c r="Z262" s="1641"/>
      <c r="AA262" s="1641"/>
      <c r="AB262" s="1641"/>
      <c r="AC262" s="1641"/>
      <c r="AD262" s="1641"/>
      <c r="AE262" s="1641"/>
      <c r="AF262" s="1641"/>
      <c r="AG262" s="1641"/>
      <c r="AH262" s="1641">
        <v>0</v>
      </c>
    </row>
    <row s="1641" customFormat="1" customHeight="1" ht="18.75">
      <c r="A263" s="1829"/>
      <c r="B263" s="1829"/>
      <c r="C263" s="1693" t="s">
        <v>1192</v>
      </c>
      <c r="D263" s="350"/>
      <c r="E263" s="1037"/>
      <c r="F263" s="1037"/>
      <c r="G263" s="2433"/>
      <c r="H263" s="3098"/>
      <c r="I263" s="3099" t="s">
        <v>1191</v>
      </c>
      <c r="J263" s="3100"/>
      <c r="K263" s="3101"/>
      <c r="L263" s="3102"/>
      <c r="M263" s="2324"/>
      <c r="N263" s="624"/>
      <c r="O263" s="1630"/>
      <c r="P263" s="1630"/>
      <c r="Q263" s="1641"/>
      <c r="R263" s="1641"/>
      <c r="S263" s="1641"/>
      <c r="T263" s="1641"/>
      <c r="U263" s="1641"/>
      <c r="V263" s="1641"/>
      <c r="W263" s="1641"/>
      <c r="X263" s="1641"/>
      <c r="Y263" s="1641"/>
      <c r="Z263" s="1641"/>
      <c r="AA263" s="1641"/>
      <c r="AB263" s="1641"/>
      <c r="AC263" s="1641"/>
      <c r="AD263" s="1641"/>
      <c r="AE263" s="1641"/>
      <c r="AF263" s="1641"/>
      <c r="AG263" s="1641"/>
      <c r="AH263" s="1641">
        <v>0</v>
      </c>
    </row>
    <row s="1641" customFormat="1" customHeight="1" ht="18.75">
      <c r="A264" s="1829" t="s">
        <v>247</v>
      </c>
      <c r="B264" s="1829" t="s">
        <v>260</v>
      </c>
      <c r="C264" s="1693"/>
      <c r="D264" s="350"/>
      <c r="E264" s="1037"/>
      <c r="F264" s="1037"/>
      <c r="G264" s="2433" t="str">
        <f>INDEX(PT_DIFFERENTIATION_NTAR,MATCH(B264,PT_DIFFERENTIATION_NTAR_ID,0))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(с учетом расходов на благоустройство)</v>
      </c>
      <c r="H264" s="2277"/>
      <c r="I264" s="1745"/>
      <c r="J264" s="1779"/>
      <c r="K264" s="1784"/>
      <c r="L264" s="2277" t="s">
        <v>322</v>
      </c>
      <c r="M264" s="2324"/>
      <c r="N264" s="624"/>
      <c r="O264" s="1630"/>
      <c r="P264" s="1630"/>
      <c r="Q264" s="1641"/>
      <c r="R264" s="1641"/>
      <c r="S264" s="1641"/>
      <c r="T264" s="1641"/>
      <c r="U264" s="1641"/>
      <c r="V264" s="1641"/>
      <c r="W264" s="1641"/>
      <c r="X264" s="1641"/>
      <c r="Y264" s="1641"/>
      <c r="Z264" s="1641"/>
      <c r="AA264" s="1641"/>
      <c r="AB264" s="1641"/>
      <c r="AC264" s="1641"/>
      <c r="AD264" s="1641"/>
      <c r="AE264" s="1641"/>
      <c r="AF264" s="1641"/>
      <c r="AG264" s="1641"/>
      <c r="AH264" s="1641">
        <v>0</v>
      </c>
    </row>
    <row s="1641" customFormat="1" customHeight="1" ht="18.75">
      <c r="A265" s="1829"/>
      <c r="B265" s="1829"/>
      <c r="C265" s="1693" t="s">
        <v>1192</v>
      </c>
      <c r="D265" s="350"/>
      <c r="E265" s="1037"/>
      <c r="F265" s="1037"/>
      <c r="G265" s="2433"/>
      <c r="H265" s="3103"/>
      <c r="I265" s="3104" t="s">
        <v>1191</v>
      </c>
      <c r="J265" s="3105"/>
      <c r="K265" s="3106"/>
      <c r="L265" s="3107"/>
      <c r="M265" s="2324"/>
      <c r="N265" s="624"/>
      <c r="O265" s="1630"/>
      <c r="P265" s="1630"/>
      <c r="Q265" s="1641"/>
      <c r="R265" s="1641"/>
      <c r="S265" s="1641"/>
      <c r="T265" s="1641"/>
      <c r="U265" s="1641"/>
      <c r="V265" s="1641"/>
      <c r="W265" s="1641"/>
      <c r="X265" s="1641"/>
      <c r="Y265" s="1641"/>
      <c r="Z265" s="1641"/>
      <c r="AA265" s="1641"/>
      <c r="AB265" s="1641"/>
      <c r="AC265" s="1641"/>
      <c r="AD265" s="1641"/>
      <c r="AE265" s="1641"/>
      <c r="AF265" s="1641"/>
      <c r="AG265" s="1641"/>
      <c r="AH265" s="1641">
        <v>0</v>
      </c>
    </row>
    <row s="1641" customFormat="1" customHeight="1" ht="0.75" hidden="1">
      <c r="A266" s="1786"/>
      <c r="B266" s="1786"/>
      <c r="C266" s="375" t="s">
        <v>1199</v>
      </c>
      <c r="D266" s="2468"/>
      <c r="E266" s="2210"/>
      <c r="F266" s="2389"/>
      <c r="G266" s="406"/>
      <c r="H266" s="1506"/>
      <c r="I266" s="657"/>
      <c r="J266" s="577"/>
      <c r="K266" s="1506"/>
      <c r="L266" s="220"/>
      <c r="M266" s="347"/>
      <c r="N266" s="340"/>
      <c r="O266" s="1630"/>
      <c r="P266" s="1630"/>
      <c r="AH266" s="1637">
        <v>0</v>
      </c>
    </row>
    <row s="1641" customFormat="1" customHeight="1" ht="18.75" hidden="1">
      <c r="A267" s="1786" t="s">
        <v>266</v>
      </c>
      <c r="B267" s="1786" t="s">
        <v>267</v>
      </c>
      <c r="C267" s="375"/>
      <c r="D267" s="2468"/>
      <c r="E267" s="2210"/>
      <c r="F267" s="2389" t="str">
        <f>INDEX(PT_DIFFERENTIATION_VTAR,MATCH(A267,PT_DIFFERENTIATION_VTAR_ID,0))</f>
        <v>Тариф на горячую воду (горячее водоснабжение)</v>
      </c>
      <c r="G267" s="2433" t="str">
        <f>INDEX(PT_DIFFERENTIATION_NTAR,MATCH(B267,PT_DIFFERENTIATION_NTAR_ID,0))</f>
        <v/>
      </c>
      <c r="H267" s="1868"/>
      <c r="I267" s="1745"/>
      <c r="J267" s="1779"/>
      <c r="K267" s="1784"/>
      <c r="L267" s="1868" t="s">
        <v>322</v>
      </c>
      <c r="M267" s="347"/>
      <c r="N267" s="340"/>
      <c r="O267" s="1630"/>
      <c r="P267" s="1630"/>
      <c r="AH267" s="1637">
        <v>0</v>
      </c>
    </row>
    <row s="1641" customFormat="1" customHeight="1" ht="18.75" hidden="1">
      <c r="A268" s="1786"/>
      <c r="B268" s="1786"/>
      <c r="C268" s="375" t="s">
        <v>1192</v>
      </c>
      <c r="D268" s="2468"/>
      <c r="E268" s="2210"/>
      <c r="F268" s="2389"/>
      <c r="G268" s="2433"/>
      <c r="H268" s="1506"/>
      <c r="I268" s="657" t="s">
        <v>1191</v>
      </c>
      <c r="J268" s="577"/>
      <c r="K268" s="1506"/>
      <c r="L268" s="220"/>
      <c r="M268" s="347"/>
      <c r="N268" s="340"/>
      <c r="O268" s="1630"/>
      <c r="P268" s="1630"/>
      <c r="AH268" s="1637">
        <v>0</v>
      </c>
    </row>
    <row s="1641" customFormat="1" customHeight="1" ht="0.75" hidden="1">
      <c r="A269" s="1786"/>
      <c r="B269" s="1786"/>
      <c r="C269" s="375" t="s">
        <v>1199</v>
      </c>
      <c r="D269" s="2468"/>
      <c r="E269" s="2210"/>
      <c r="F269" s="2389"/>
      <c r="G269" s="406"/>
      <c r="H269" s="1506"/>
      <c r="I269" s="657"/>
      <c r="J269" s="577"/>
      <c r="K269" s="1506"/>
      <c r="L269" s="220"/>
      <c r="M269" s="347"/>
      <c r="N269" s="340"/>
      <c r="O269" s="1630"/>
      <c r="P269" s="1630"/>
      <c r="AH269" s="1637">
        <v>0</v>
      </c>
    </row>
    <row s="1641" customFormat="1" customHeight="1" ht="18.75" hidden="1">
      <c r="A270" s="1786" t="s">
        <v>271</v>
      </c>
      <c r="B270" s="1786" t="s">
        <v>272</v>
      </c>
      <c r="C270" s="375"/>
      <c r="D270" s="2468"/>
      <c r="E270" s="2210"/>
      <c r="F270" s="2389" t="str">
        <f>INDEX(PT_DIFFERENTIATION_VTAR,MATCH(A270,PT_DIFFERENTIATION_VTAR_ID,0))</f>
        <v>Тариф на транспортировку горячей воды</v>
      </c>
      <c r="G270" s="2433" t="str">
        <f>INDEX(PT_DIFFERENTIATION_NTAR,MATCH(B270,PT_DIFFERENTIATION_NTAR_ID,0))</f>
        <v/>
      </c>
      <c r="H270" s="1868"/>
      <c r="I270" s="1745"/>
      <c r="J270" s="1779"/>
      <c r="K270" s="1784"/>
      <c r="L270" s="1868" t="s">
        <v>322</v>
      </c>
      <c r="M270" s="347"/>
      <c r="N270" s="340"/>
      <c r="O270" s="1630"/>
      <c r="P270" s="1630"/>
      <c r="AH270" s="1637">
        <v>0</v>
      </c>
    </row>
    <row s="1641" customFormat="1" customHeight="1" ht="18.75" hidden="1">
      <c r="A271" s="1786"/>
      <c r="B271" s="1786"/>
      <c r="C271" s="375" t="s">
        <v>1192</v>
      </c>
      <c r="D271" s="2468"/>
      <c r="E271" s="2210"/>
      <c r="F271" s="2389"/>
      <c r="G271" s="2433"/>
      <c r="H271" s="1506"/>
      <c r="I271" s="657" t="s">
        <v>1191</v>
      </c>
      <c r="J271" s="577"/>
      <c r="K271" s="1506"/>
      <c r="L271" s="220"/>
      <c r="M271" s="347"/>
      <c r="N271" s="340"/>
      <c r="O271" s="1630"/>
      <c r="P271" s="1630"/>
      <c r="AH271" s="1637">
        <v>0</v>
      </c>
    </row>
    <row s="1641" customFormat="1" customHeight="1" ht="0.75" hidden="1">
      <c r="A272" s="1786"/>
      <c r="B272" s="1786"/>
      <c r="C272" s="375" t="s">
        <v>1199</v>
      </c>
      <c r="D272" s="2468"/>
      <c r="E272" s="2210"/>
      <c r="F272" s="2389"/>
      <c r="G272" s="406"/>
      <c r="H272" s="1506"/>
      <c r="I272" s="657"/>
      <c r="J272" s="577"/>
      <c r="K272" s="1506"/>
      <c r="L272" s="220"/>
      <c r="M272" s="347"/>
      <c r="N272" s="340"/>
      <c r="O272" s="1630"/>
      <c r="P272" s="1630"/>
      <c r="AH272" s="1637">
        <v>0</v>
      </c>
    </row>
    <row s="1641" customFormat="1" customHeight="1" ht="18.75" hidden="1">
      <c r="A273" s="1786" t="s">
        <v>276</v>
      </c>
      <c r="B273" s="1786" t="s">
        <v>277</v>
      </c>
      <c r="C273" s="375"/>
      <c r="D273" s="2468"/>
      <c r="E273" s="2210"/>
      <c r="F273" s="2389" t="str">
        <f>INDEX(PT_DIFFERENTIATION_VTAR,MATCH(A273,PT_DIFFERENTIATION_VTAR_ID,0))</f>
        <v>Тариф на подключение (технологическое присоединение) к централизованной системе горячего водоснабжения</v>
      </c>
      <c r="G273" s="2433" t="str">
        <f>INDEX(PT_DIFFERENTIATION_NTAR,MATCH(B273,PT_DIFFERENTIATION_NTAR_ID,0))</f>
        <v/>
      </c>
      <c r="H273" s="1868"/>
      <c r="I273" s="1745"/>
      <c r="J273" s="1779"/>
      <c r="K273" s="1784"/>
      <c r="L273" s="1868" t="s">
        <v>322</v>
      </c>
      <c r="M273" s="347"/>
      <c r="N273" s="340"/>
      <c r="O273" s="1630"/>
      <c r="P273" s="1630"/>
      <c r="AH273" s="1637">
        <v>0</v>
      </c>
    </row>
    <row s="1641" customFormat="1" customHeight="1" ht="18.75" hidden="1">
      <c r="A274" s="1786"/>
      <c r="B274" s="1786"/>
      <c r="C274" s="375" t="s">
        <v>1192</v>
      </c>
      <c r="D274" s="2468"/>
      <c r="E274" s="2210"/>
      <c r="F274" s="2389"/>
      <c r="G274" s="2433"/>
      <c r="H274" s="1506"/>
      <c r="I274" s="657" t="s">
        <v>1191</v>
      </c>
      <c r="J274" s="577"/>
      <c r="K274" s="1506"/>
      <c r="L274" s="220"/>
      <c r="M274" s="347"/>
      <c r="N274" s="340"/>
      <c r="O274" s="1630"/>
      <c r="P274" s="1630"/>
      <c r="AH274" s="1637">
        <v>0</v>
      </c>
    </row>
    <row s="1641" customFormat="1" customHeight="1" ht="0.75" hidden="1">
      <c r="A275" s="1786"/>
      <c r="B275" s="1786"/>
      <c r="C275" s="375" t="s">
        <v>1199</v>
      </c>
      <c r="D275" s="2468"/>
      <c r="E275" s="2210"/>
      <c r="F275" s="2389"/>
      <c r="G275" s="406"/>
      <c r="H275" s="1506"/>
      <c r="I275" s="657"/>
      <c r="J275" s="577"/>
      <c r="K275" s="1506"/>
      <c r="L275" s="220"/>
      <c r="M275" s="347"/>
      <c r="N275" s="340"/>
      <c r="O275" s="1630"/>
      <c r="P275" s="1630"/>
      <c r="AH275" s="1637">
        <v>0</v>
      </c>
    </row>
    <row s="1641" customFormat="1" customHeight="1" ht="18.75" hidden="1">
      <c r="A276" s="1786" t="s">
        <v>281</v>
      </c>
      <c r="B276" s="1786" t="s">
        <v>282</v>
      </c>
      <c r="C276" s="375"/>
      <c r="D276" s="2468"/>
      <c r="E276" s="2210"/>
      <c r="F276" s="2389" t="str">
        <f>INDEX(PT_DIFFERENTIATION_VTAR,MATCH(A276,PT_DIFFERENTIATION_VTAR_ID,0))</f>
        <v>Тариф на водоотведение</v>
      </c>
      <c r="G276" s="2433" t="str">
        <f>INDEX(PT_DIFFERENTIATION_NTAR,MATCH(B276,PT_DIFFERENTIATION_NTAR_ID,0))</f>
        <v/>
      </c>
      <c r="H276" s="1868"/>
      <c r="I276" s="1745"/>
      <c r="J276" s="1779"/>
      <c r="K276" s="1784"/>
      <c r="L276" s="1868" t="s">
        <v>322</v>
      </c>
      <c r="M276" s="347"/>
      <c r="N276" s="340"/>
      <c r="O276" s="1630"/>
      <c r="P276" s="1630"/>
      <c r="AH276" s="1637">
        <v>0</v>
      </c>
    </row>
    <row s="1641" customFormat="1" customHeight="1" ht="18.75" hidden="1">
      <c r="A277" s="1786"/>
      <c r="B277" s="1786"/>
      <c r="C277" s="375" t="s">
        <v>1192</v>
      </c>
      <c r="D277" s="2468"/>
      <c r="E277" s="2210"/>
      <c r="F277" s="2389"/>
      <c r="G277" s="2433"/>
      <c r="H277" s="1506"/>
      <c r="I277" s="657" t="s">
        <v>1191</v>
      </c>
      <c r="J277" s="577"/>
      <c r="K277" s="1506"/>
      <c r="L277" s="220"/>
      <c r="M277" s="347"/>
      <c r="N277" s="340"/>
      <c r="O277" s="1630"/>
      <c r="P277" s="1630"/>
      <c r="AH277" s="1637">
        <v>0</v>
      </c>
    </row>
    <row s="1641" customFormat="1" customHeight="1" ht="0.75" hidden="1">
      <c r="A278" s="1786"/>
      <c r="B278" s="1786"/>
      <c r="C278" s="375" t="s">
        <v>1199</v>
      </c>
      <c r="D278" s="2468"/>
      <c r="E278" s="2210"/>
      <c r="F278" s="2389"/>
      <c r="G278" s="406"/>
      <c r="H278" s="1506"/>
      <c r="I278" s="657"/>
      <c r="J278" s="577"/>
      <c r="K278" s="1506"/>
      <c r="L278" s="220"/>
      <c r="M278" s="347"/>
      <c r="N278" s="340"/>
      <c r="O278" s="1630"/>
      <c r="P278" s="1630"/>
      <c r="AH278" s="1637">
        <v>0</v>
      </c>
    </row>
    <row s="1641" customFormat="1" customHeight="1" ht="18.75" hidden="1">
      <c r="A279" s="1786" t="s">
        <v>286</v>
      </c>
      <c r="B279" s="1786" t="s">
        <v>287</v>
      </c>
      <c r="C279" s="375"/>
      <c r="D279" s="2468"/>
      <c r="E279" s="2210"/>
      <c r="F279" s="2389" t="str">
        <f>INDEX(PT_DIFFERENTIATION_VTAR,MATCH(A279,PT_DIFFERENTIATION_VTAR_ID,0))</f>
        <v>Тариф на транспортировку сточных вод</v>
      </c>
      <c r="G279" s="2433" t="str">
        <f>INDEX(PT_DIFFERENTIATION_NTAR,MATCH(B279,PT_DIFFERENTIATION_NTAR_ID,0))</f>
        <v/>
      </c>
      <c r="H279" s="1868"/>
      <c r="I279" s="1745"/>
      <c r="J279" s="1779"/>
      <c r="K279" s="1784"/>
      <c r="L279" s="1868" t="s">
        <v>322</v>
      </c>
      <c r="M279" s="347"/>
      <c r="N279" s="340"/>
      <c r="O279" s="1630"/>
      <c r="P279" s="1630"/>
      <c r="AH279" s="1637">
        <v>0</v>
      </c>
    </row>
    <row s="1641" customFormat="1" customHeight="1" ht="18.75" hidden="1">
      <c r="A280" s="1786"/>
      <c r="B280" s="1786"/>
      <c r="C280" s="375" t="s">
        <v>1192</v>
      </c>
      <c r="D280" s="2468"/>
      <c r="E280" s="2210"/>
      <c r="F280" s="2389"/>
      <c r="G280" s="2433"/>
      <c r="H280" s="1506"/>
      <c r="I280" s="657" t="s">
        <v>1191</v>
      </c>
      <c r="J280" s="577"/>
      <c r="K280" s="1506"/>
      <c r="L280" s="220"/>
      <c r="M280" s="347"/>
      <c r="N280" s="340"/>
      <c r="O280" s="1630"/>
      <c r="P280" s="1630"/>
      <c r="AH280" s="1637">
        <v>0</v>
      </c>
    </row>
    <row s="1641" customFormat="1" customHeight="1" ht="0.75" hidden="1">
      <c r="A281" s="1786"/>
      <c r="B281" s="1786"/>
      <c r="C281" s="375" t="s">
        <v>1199</v>
      </c>
      <c r="D281" s="2468"/>
      <c r="E281" s="2210"/>
      <c r="F281" s="2389"/>
      <c r="G281" s="406"/>
      <c r="H281" s="1506"/>
      <c r="I281" s="657"/>
      <c r="J281" s="577"/>
      <c r="K281" s="1506"/>
      <c r="L281" s="220"/>
      <c r="M281" s="347"/>
      <c r="N281" s="340"/>
      <c r="O281" s="1630"/>
      <c r="P281" s="1630"/>
      <c r="AH281" s="1637">
        <v>0</v>
      </c>
    </row>
    <row s="1641" customFormat="1" customHeight="1" ht="18.75" hidden="1">
      <c r="A282" s="1786" t="s">
        <v>291</v>
      </c>
      <c r="B282" s="1786" t="s">
        <v>292</v>
      </c>
      <c r="C282" s="375"/>
      <c r="D282" s="2468"/>
      <c r="E282" s="2210"/>
      <c r="F282" s="2389" t="str">
        <f>INDEX(PT_DIFFERENTIATION_VTAR,MATCH(A282,PT_DIFFERENTIATION_VTAR_ID,0))</f>
        <v>Тариф на подключение (технологическое присоединение) к централизованной системе водоотведения</v>
      </c>
      <c r="G282" s="2433" t="str">
        <f>INDEX(PT_DIFFERENTIATION_NTAR,MATCH(B282,PT_DIFFERENTIATION_NTAR_ID,0))</f>
        <v/>
      </c>
      <c r="H282" s="1868"/>
      <c r="I282" s="1745"/>
      <c r="J282" s="1779"/>
      <c r="K282" s="1784"/>
      <c r="L282" s="1868" t="s">
        <v>322</v>
      </c>
      <c r="M282" s="347"/>
      <c r="N282" s="340"/>
      <c r="O282" s="1630"/>
      <c r="P282" s="1630"/>
      <c r="AH282" s="1637">
        <v>0</v>
      </c>
    </row>
    <row s="1641" customFormat="1" customHeight="1" ht="18.75" hidden="1">
      <c r="A283" s="1786"/>
      <c r="B283" s="1786"/>
      <c r="C283" s="375" t="s">
        <v>1192</v>
      </c>
      <c r="D283" s="2468"/>
      <c r="E283" s="2210"/>
      <c r="F283" s="2389"/>
      <c r="G283" s="2433"/>
      <c r="H283" s="1506"/>
      <c r="I283" s="657" t="s">
        <v>1191</v>
      </c>
      <c r="J283" s="577"/>
      <c r="K283" s="1506"/>
      <c r="L283" s="220"/>
      <c r="M283" s="347"/>
      <c r="N283" s="340"/>
      <c r="O283" s="1630"/>
      <c r="P283" s="1630"/>
      <c r="AH283" s="1637">
        <v>0</v>
      </c>
    </row>
    <row s="1641" customFormat="1" customHeight="1" ht="1.05">
      <c r="A284" s="1786"/>
      <c r="B284" s="1786"/>
      <c r="C284" s="375" t="s">
        <v>1199</v>
      </c>
      <c r="D284" s="2468"/>
      <c r="E284" s="2210"/>
      <c r="F284" s="2389"/>
      <c r="G284" s="406"/>
      <c r="H284" s="1506"/>
      <c r="I284" s="657"/>
      <c r="J284" s="577"/>
      <c r="K284" s="1506"/>
      <c r="L284" s="220"/>
      <c r="M284" s="347"/>
      <c r="N284" s="340"/>
      <c r="O284" s="1630"/>
      <c r="P284" s="1630"/>
      <c r="AH284" s="1637">
        <v>1</v>
      </c>
    </row>
    <row customHeight="1" ht="27.299999999999997">
      <c r="A285" s="1786"/>
      <c r="B285" s="1786"/>
      <c r="D285" s="382"/>
      <c r="E285" s="153" t="s">
        <v>93</v>
      </c>
      <c r="F285" s="24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5" s="2466"/>
      <c r="H285" s="2466"/>
      <c r="I285" s="2466"/>
      <c r="J285" s="2466"/>
      <c r="K285" s="2466"/>
      <c r="L285" s="2466"/>
      <c r="M285" s="303"/>
      <c r="N285" s="340"/>
      <c r="AH285" s="380">
        <v>26</v>
      </c>
    </row>
    <row s="1641" customFormat="1" customHeight="1" ht="60.75" hidden="1">
      <c r="A286" s="1786" t="s">
        <v>157</v>
      </c>
      <c r="B286" s="1786" t="s">
        <v>158</v>
      </c>
      <c r="C286" s="375"/>
      <c r="D286" s="2468"/>
      <c r="E286" s="2210"/>
      <c r="F286" s="2389"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433" t="str">
        <f>INDEX(PT_DIFFERENTIATION_NTAR,MATCH(B286,PT_DIFFERENTIATION_NTAR_ID,0))</f>
        <v/>
      </c>
      <c r="H286" s="1868"/>
      <c r="I286" s="1745"/>
      <c r="J286" s="1779"/>
      <c r="K286" s="1784"/>
      <c r="L286" s="1868" t="s">
        <v>322</v>
      </c>
      <c r="M286"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340"/>
      <c r="O286" s="1630"/>
      <c r="P286" s="1630"/>
      <c r="AH286" s="1637">
        <v>0</v>
      </c>
    </row>
    <row s="1641" customFormat="1" customHeight="1" ht="18.75" hidden="1">
      <c r="A287" s="1786"/>
      <c r="B287" s="1786"/>
      <c r="C287" s="375" t="s">
        <v>1192</v>
      </c>
      <c r="D287" s="2468"/>
      <c r="E287" s="2210"/>
      <c r="F287" s="2389"/>
      <c r="G287" s="2433"/>
      <c r="H287" s="1506"/>
      <c r="I287" s="657" t="s">
        <v>1191</v>
      </c>
      <c r="J287" s="577"/>
      <c r="K287" s="1506"/>
      <c r="L287" s="220"/>
      <c r="M287" s="2176"/>
      <c r="N287" s="340"/>
      <c r="O287" s="1630"/>
      <c r="P287" s="1630"/>
      <c r="AH287" s="1637">
        <v>0</v>
      </c>
    </row>
    <row s="1641" customFormat="1" customHeight="1" ht="0.75" hidden="1">
      <c r="A288" s="1786"/>
      <c r="B288" s="1786"/>
      <c r="C288" s="375" t="s">
        <v>1199</v>
      </c>
      <c r="D288" s="2468"/>
      <c r="E288" s="2210"/>
      <c r="F288" s="2389"/>
      <c r="G288" s="406"/>
      <c r="H288" s="1506"/>
      <c r="I288" s="657"/>
      <c r="J288" s="577"/>
      <c r="K288" s="1506"/>
      <c r="L288" s="220"/>
      <c r="M288" s="2176"/>
      <c r="N288" s="340"/>
      <c r="O288" s="1630"/>
      <c r="P288" s="1630"/>
      <c r="AH288" s="1637">
        <v>0</v>
      </c>
    </row>
    <row s="1641" customFormat="1" customHeight="1" ht="45" hidden="1">
      <c r="A289" s="1786" t="s">
        <v>162</v>
      </c>
      <c r="B289" s="1786" t="s">
        <v>163</v>
      </c>
      <c r="C289" s="375"/>
      <c r="D289" s="2468"/>
      <c r="E289" s="2210"/>
      <c r="F289" s="2389" t="str">
        <f>INDEX(PT_DIFFERENTIATION_VTAR,MATCH(A289,PT_DIFFERENTIATION_VTAR_ID,0))</f>
        <v/>
      </c>
      <c r="G289" s="2433" t="str">
        <f>INDEX(PT_DIFFERENTIATION_NTAR,MATCH(B289,PT_DIFFERENTIATION_NTAR_ID,0))</f>
        <v/>
      </c>
      <c r="H289" s="1868"/>
      <c r="I289" s="1745"/>
      <c r="J289" s="1779"/>
      <c r="K289" s="1784"/>
      <c r="L289" s="1868" t="s">
        <v>322</v>
      </c>
      <c r="M289" s="2177"/>
      <c r="N289" s="340"/>
      <c r="O289" s="1630"/>
      <c r="P289" s="1630"/>
      <c r="AH289" s="1637">
        <v>0</v>
      </c>
    </row>
    <row s="1641" customFormat="1" customHeight="1" ht="18.75" hidden="1">
      <c r="A290" s="1786"/>
      <c r="B290" s="1786"/>
      <c r="C290" s="375" t="s">
        <v>1192</v>
      </c>
      <c r="D290" s="2468"/>
      <c r="E290" s="2210"/>
      <c r="F290" s="2389"/>
      <c r="G290" s="2433"/>
      <c r="H290" s="1506"/>
      <c r="I290" s="657" t="s">
        <v>1191</v>
      </c>
      <c r="J290" s="577"/>
      <c r="K290" s="1506"/>
      <c r="L290" s="220"/>
      <c r="M290" s="1867"/>
      <c r="N290" s="340"/>
      <c r="O290" s="1630"/>
      <c r="P290" s="1630"/>
      <c r="AH290" s="1637">
        <v>0</v>
      </c>
    </row>
    <row s="1641" customFormat="1" customHeight="1" ht="0.75" hidden="1">
      <c r="A291" s="1786"/>
      <c r="B291" s="1786"/>
      <c r="C291" s="375" t="s">
        <v>1199</v>
      </c>
      <c r="D291" s="2468"/>
      <c r="E291" s="2210"/>
      <c r="F291" s="2389"/>
      <c r="G291" s="406"/>
      <c r="H291" s="1506"/>
      <c r="I291" s="657"/>
      <c r="J291" s="577"/>
      <c r="K291" s="1506"/>
      <c r="L291" s="220"/>
      <c r="M291" s="347"/>
      <c r="N291" s="340"/>
      <c r="O291" s="1630"/>
      <c r="P291" s="1630"/>
      <c r="AH291" s="1637">
        <v>0</v>
      </c>
    </row>
    <row s="1641" customFormat="1" customHeight="1" ht="45" hidden="1">
      <c r="A292" s="1786" t="s">
        <v>169</v>
      </c>
      <c r="B292" s="1786" t="s">
        <v>170</v>
      </c>
      <c r="C292" s="375"/>
      <c r="D292" s="2468"/>
      <c r="E292" s="2210"/>
      <c r="F292" s="2389"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433" t="str">
        <f>INDEX(PT_DIFFERENTIATION_NTAR,MATCH(B292,PT_DIFFERENTIATION_NTAR_ID,0))</f>
        <v/>
      </c>
      <c r="H292" s="1868"/>
      <c r="I292" s="1745"/>
      <c r="J292" s="1779"/>
      <c r="K292" s="1784"/>
      <c r="L292" s="1868" t="s">
        <v>322</v>
      </c>
      <c r="M292" s="347"/>
      <c r="N292" s="340"/>
      <c r="O292" s="1630"/>
      <c r="P292" s="1630"/>
      <c r="AH292" s="1637">
        <v>0</v>
      </c>
    </row>
    <row s="1641" customFormat="1" customHeight="1" ht="18.75" hidden="1">
      <c r="A293" s="1786"/>
      <c r="B293" s="1786"/>
      <c r="C293" s="375" t="s">
        <v>1192</v>
      </c>
      <c r="D293" s="2468"/>
      <c r="E293" s="2210"/>
      <c r="F293" s="2389"/>
      <c r="G293" s="2433"/>
      <c r="H293" s="1506"/>
      <c r="I293" s="657" t="s">
        <v>1191</v>
      </c>
      <c r="J293" s="577"/>
      <c r="K293" s="1506"/>
      <c r="L293" s="220"/>
      <c r="M293" s="347"/>
      <c r="N293" s="340"/>
      <c r="O293" s="1630"/>
      <c r="P293" s="1630"/>
      <c r="AH293" s="1637">
        <v>0</v>
      </c>
    </row>
    <row s="1641" customFormat="1" customHeight="1" ht="0.75" hidden="1">
      <c r="A294" s="1786"/>
      <c r="B294" s="1786"/>
      <c r="C294" s="375" t="s">
        <v>1199</v>
      </c>
      <c r="D294" s="2468"/>
      <c r="E294" s="2210"/>
      <c r="F294" s="2389"/>
      <c r="G294" s="406"/>
      <c r="H294" s="1506"/>
      <c r="I294" s="657"/>
      <c r="J294" s="577"/>
      <c r="K294" s="1506"/>
      <c r="L294" s="220"/>
      <c r="M294" s="347"/>
      <c r="N294" s="340"/>
      <c r="O294" s="1630"/>
      <c r="P294" s="1630"/>
      <c r="AH294" s="1637">
        <v>0</v>
      </c>
    </row>
    <row s="1641" customFormat="1" customHeight="1" ht="45" hidden="1">
      <c r="A295" s="1786" t="s">
        <v>175</v>
      </c>
      <c r="B295" s="1786" t="s">
        <v>176</v>
      </c>
      <c r="C295" s="375"/>
      <c r="D295" s="2468"/>
      <c r="E295" s="2210"/>
      <c r="F295" s="2389"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433" t="str">
        <f>INDEX(PT_DIFFERENTIATION_NTAR,MATCH(B295,PT_DIFFERENTIATION_NTAR_ID,0))</f>
        <v/>
      </c>
      <c r="H295" s="1868"/>
      <c r="I295" s="1745"/>
      <c r="J295" s="1779"/>
      <c r="K295" s="1784"/>
      <c r="L295" s="1868" t="s">
        <v>322</v>
      </c>
      <c r="M295" s="347"/>
      <c r="N295" s="340"/>
      <c r="O295" s="1630"/>
      <c r="P295" s="1630"/>
      <c r="AH295" s="1637">
        <v>0</v>
      </c>
    </row>
    <row s="1641" customFormat="1" customHeight="1" ht="18.75" hidden="1">
      <c r="A296" s="1786"/>
      <c r="B296" s="1786"/>
      <c r="C296" s="375" t="s">
        <v>1192</v>
      </c>
      <c r="D296" s="2468"/>
      <c r="E296" s="2210"/>
      <c r="F296" s="2389"/>
      <c r="G296" s="2433"/>
      <c r="H296" s="1506"/>
      <c r="I296" s="657" t="s">
        <v>1191</v>
      </c>
      <c r="J296" s="577"/>
      <c r="K296" s="1506"/>
      <c r="L296" s="220"/>
      <c r="M296" s="347"/>
      <c r="N296" s="340"/>
      <c r="O296" s="1630"/>
      <c r="P296" s="1630"/>
      <c r="AH296" s="1637">
        <v>0</v>
      </c>
    </row>
    <row s="1641" customFormat="1" customHeight="1" ht="0.75" hidden="1">
      <c r="A297" s="1786"/>
      <c r="B297" s="1786"/>
      <c r="C297" s="375" t="s">
        <v>1199</v>
      </c>
      <c r="D297" s="2468"/>
      <c r="E297" s="2210"/>
      <c r="F297" s="2389"/>
      <c r="G297" s="406"/>
      <c r="H297" s="1506"/>
      <c r="I297" s="657"/>
      <c r="J297" s="577"/>
      <c r="K297" s="1506"/>
      <c r="L297" s="220"/>
      <c r="M297" s="347"/>
      <c r="N297" s="340"/>
      <c r="O297" s="1630"/>
      <c r="P297" s="1630"/>
      <c r="AH297" s="1637">
        <v>0</v>
      </c>
    </row>
    <row s="1641" customFormat="1" customHeight="1" ht="18.75" hidden="1">
      <c r="A298" s="1786" t="s">
        <v>181</v>
      </c>
      <c r="B298" s="1786" t="s">
        <v>182</v>
      </c>
      <c r="C298" s="375"/>
      <c r="D298" s="2468"/>
      <c r="E298" s="2210"/>
      <c r="F298" s="2389" t="str">
        <f>INDEX(PT_DIFFERENTIATION_VTAR,MATCH(A298,PT_DIFFERENTIATION_VTAR_ID,0))</f>
        <v>Тарифы на услуги по передаче тепловой энергии</v>
      </c>
      <c r="G298" s="2433" t="str">
        <f>INDEX(PT_DIFFERENTIATION_NTAR,MATCH(B298,PT_DIFFERENTIATION_NTAR_ID,0))</f>
        <v/>
      </c>
      <c r="H298" s="1868"/>
      <c r="I298" s="1745"/>
      <c r="J298" s="1779"/>
      <c r="K298" s="1784"/>
      <c r="L298" s="1868" t="s">
        <v>322</v>
      </c>
      <c r="M298" s="347"/>
      <c r="N298" s="340"/>
      <c r="O298" s="1630"/>
      <c r="P298" s="1630"/>
      <c r="AH298" s="1637">
        <v>0</v>
      </c>
    </row>
    <row s="1641" customFormat="1" customHeight="1" ht="18.75" hidden="1">
      <c r="A299" s="1786"/>
      <c r="B299" s="1786"/>
      <c r="C299" s="375" t="s">
        <v>1192</v>
      </c>
      <c r="D299" s="2468"/>
      <c r="E299" s="2210"/>
      <c r="F299" s="2389"/>
      <c r="G299" s="2433"/>
      <c r="H299" s="1506"/>
      <c r="I299" s="657" t="s">
        <v>1191</v>
      </c>
      <c r="J299" s="577"/>
      <c r="K299" s="1506"/>
      <c r="L299" s="220"/>
      <c r="M299" s="347"/>
      <c r="N299" s="340"/>
      <c r="O299" s="1630"/>
      <c r="P299" s="1630"/>
      <c r="AH299" s="1637">
        <v>0</v>
      </c>
    </row>
    <row s="1641" customFormat="1" customHeight="1" ht="0.75" hidden="1">
      <c r="A300" s="1786"/>
      <c r="B300" s="1786"/>
      <c r="C300" s="375" t="s">
        <v>1199</v>
      </c>
      <c r="D300" s="2468"/>
      <c r="E300" s="2210"/>
      <c r="F300" s="2389"/>
      <c r="G300" s="406"/>
      <c r="H300" s="1506"/>
      <c r="I300" s="657"/>
      <c r="J300" s="577"/>
      <c r="K300" s="1506"/>
      <c r="L300" s="220"/>
      <c r="M300" s="347"/>
      <c r="N300" s="340"/>
      <c r="O300" s="1630"/>
      <c r="P300" s="1630"/>
      <c r="AH300" s="1637">
        <v>0</v>
      </c>
    </row>
    <row s="1641" customFormat="1" customHeight="1" ht="18.75" hidden="1">
      <c r="A301" s="1786" t="s">
        <v>187</v>
      </c>
      <c r="B301" s="1786" t="s">
        <v>188</v>
      </c>
      <c r="C301" s="375"/>
      <c r="D301" s="2468"/>
      <c r="E301" s="2210"/>
      <c r="F301" s="2389" t="str">
        <f>INDEX(PT_DIFFERENTIATION_VTAR,MATCH(A301,PT_DIFFERENTIATION_VTAR_ID,0))</f>
        <v>Тарифы на услуги по передаче теплоносителя</v>
      </c>
      <c r="G301" s="2433" t="str">
        <f>INDEX(PT_DIFFERENTIATION_NTAR,MATCH(B301,PT_DIFFERENTIATION_NTAR_ID,0))</f>
        <v/>
      </c>
      <c r="H301" s="1868"/>
      <c r="I301" s="1745"/>
      <c r="J301" s="1779"/>
      <c r="K301" s="1784"/>
      <c r="L301" s="1868" t="s">
        <v>322</v>
      </c>
      <c r="M301" s="347"/>
      <c r="N301" s="340"/>
      <c r="O301" s="1630"/>
      <c r="P301" s="1630"/>
      <c r="AH301" s="1637">
        <v>0</v>
      </c>
    </row>
    <row s="1641" customFormat="1" customHeight="1" ht="18.75" hidden="1">
      <c r="A302" s="1786"/>
      <c r="B302" s="1786"/>
      <c r="C302" s="375" t="s">
        <v>1192</v>
      </c>
      <c r="D302" s="2468"/>
      <c r="E302" s="2210"/>
      <c r="F302" s="2389"/>
      <c r="G302" s="2433"/>
      <c r="H302" s="1506"/>
      <c r="I302" s="657" t="s">
        <v>1191</v>
      </c>
      <c r="J302" s="577"/>
      <c r="K302" s="1506"/>
      <c r="L302" s="220"/>
      <c r="M302" s="347"/>
      <c r="N302" s="340"/>
      <c r="O302" s="1630"/>
      <c r="P302" s="1630"/>
      <c r="AH302" s="1637">
        <v>0</v>
      </c>
    </row>
    <row s="1641" customFormat="1" customHeight="1" ht="0.75" hidden="1">
      <c r="A303" s="1786"/>
      <c r="B303" s="1786"/>
      <c r="C303" s="375" t="s">
        <v>1199</v>
      </c>
      <c r="D303" s="2468"/>
      <c r="E303" s="2210"/>
      <c r="F303" s="2389"/>
      <c r="G303" s="406"/>
      <c r="H303" s="1506"/>
      <c r="I303" s="657"/>
      <c r="J303" s="577"/>
      <c r="K303" s="1506"/>
      <c r="L303" s="220"/>
      <c r="M303" s="347"/>
      <c r="N303" s="340"/>
      <c r="O303" s="1630"/>
      <c r="P303" s="1630"/>
      <c r="AH303" s="1637">
        <v>0</v>
      </c>
    </row>
    <row s="1641" customFormat="1" customHeight="1" ht="18.75" hidden="1">
      <c r="A304" s="1786" t="s">
        <v>193</v>
      </c>
      <c r="B304" s="1786" t="s">
        <v>194</v>
      </c>
      <c r="C304" s="375"/>
      <c r="D304" s="2468"/>
      <c r="E304" s="2210"/>
      <c r="F304" s="2389"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433" t="str">
        <f>INDEX(PT_DIFFERENTIATION_NTAR,MATCH(B304,PT_DIFFERENTIATION_NTAR_ID,0))</f>
        <v/>
      </c>
      <c r="H304" s="1868"/>
      <c r="I304" s="1745"/>
      <c r="J304" s="1779"/>
      <c r="K304" s="1784"/>
      <c r="L304" s="1868" t="s">
        <v>322</v>
      </c>
      <c r="M304" s="347"/>
      <c r="N304" s="340"/>
      <c r="O304" s="1630"/>
      <c r="P304" s="1630"/>
      <c r="AH304" s="1637">
        <v>0</v>
      </c>
    </row>
    <row s="1641" customFormat="1" customHeight="1" ht="18.75" hidden="1">
      <c r="A305" s="1786"/>
      <c r="B305" s="1786"/>
      <c r="C305" s="375" t="s">
        <v>1192</v>
      </c>
      <c r="D305" s="2468"/>
      <c r="E305" s="2210"/>
      <c r="F305" s="2389"/>
      <c r="G305" s="2433"/>
      <c r="H305" s="1506"/>
      <c r="I305" s="657" t="s">
        <v>1191</v>
      </c>
      <c r="J305" s="577"/>
      <c r="K305" s="1506"/>
      <c r="L305" s="220"/>
      <c r="M305" s="347"/>
      <c r="N305" s="340"/>
      <c r="O305" s="1630"/>
      <c r="P305" s="1630"/>
      <c r="AH305" s="1637">
        <v>0</v>
      </c>
    </row>
    <row s="1641" customFormat="1" customHeight="1" ht="0.75" hidden="1">
      <c r="A306" s="1786"/>
      <c r="B306" s="1786"/>
      <c r="C306" s="375" t="s">
        <v>1199</v>
      </c>
      <c r="D306" s="2468"/>
      <c r="E306" s="2210"/>
      <c r="F306" s="2389"/>
      <c r="G306" s="406"/>
      <c r="H306" s="1506"/>
      <c r="I306" s="657"/>
      <c r="J306" s="577"/>
      <c r="K306" s="1506"/>
      <c r="L306" s="220"/>
      <c r="M306" s="347"/>
      <c r="N306" s="340"/>
      <c r="O306" s="1630"/>
      <c r="P306" s="1630"/>
      <c r="AH306" s="1637">
        <v>0</v>
      </c>
    </row>
    <row s="1641" customFormat="1" customHeight="1" ht="18.75" hidden="1">
      <c r="A307" s="1786" t="s">
        <v>199</v>
      </c>
      <c r="B307" s="1786" t="s">
        <v>200</v>
      </c>
      <c r="C307" s="375"/>
      <c r="D307" s="2468"/>
      <c r="E307" s="2210"/>
      <c r="F307" s="2389" t="str">
        <f>INDEX(PT_DIFFERENTIATION_VTAR,MATCH(A307,PT_DIFFERENTIATION_VTAR_ID,0))</f>
        <v>Плата за подключение (технологическое присоединение) к системе теплоснабжения</v>
      </c>
      <c r="G307" s="2433" t="str">
        <f>INDEX(PT_DIFFERENTIATION_NTAR,MATCH(B307,PT_DIFFERENTIATION_NTAR_ID,0))</f>
        <v/>
      </c>
      <c r="H307" s="1868"/>
      <c r="I307" s="1745"/>
      <c r="J307" s="1779"/>
      <c r="K307" s="1784"/>
      <c r="L307" s="1868" t="s">
        <v>322</v>
      </c>
      <c r="M307" s="347"/>
      <c r="N307" s="340"/>
      <c r="O307" s="1630"/>
      <c r="P307" s="1630"/>
      <c r="AH307" s="1637">
        <v>0</v>
      </c>
    </row>
    <row s="1641" customFormat="1" customHeight="1" ht="18.75" hidden="1">
      <c r="A308" s="1786"/>
      <c r="B308" s="1786"/>
      <c r="C308" s="375" t="s">
        <v>1192</v>
      </c>
      <c r="D308" s="2468"/>
      <c r="E308" s="2210"/>
      <c r="F308" s="2389"/>
      <c r="G308" s="2433"/>
      <c r="H308" s="1506"/>
      <c r="I308" s="657" t="s">
        <v>1191</v>
      </c>
      <c r="J308" s="577"/>
      <c r="K308" s="1506"/>
      <c r="L308" s="220"/>
      <c r="M308" s="347"/>
      <c r="N308" s="340"/>
      <c r="O308" s="1630"/>
      <c r="P308" s="1630"/>
      <c r="AH308" s="1637">
        <v>0</v>
      </c>
    </row>
    <row s="1641" customFormat="1" customHeight="1" ht="0.75" hidden="1">
      <c r="A309" s="1786"/>
      <c r="B309" s="1786"/>
      <c r="C309" s="375" t="s">
        <v>1199</v>
      </c>
      <c r="D309" s="2468"/>
      <c r="E309" s="2210"/>
      <c r="F309" s="2389"/>
      <c r="G309" s="406"/>
      <c r="H309" s="1506"/>
      <c r="I309" s="657"/>
      <c r="J309" s="577"/>
      <c r="K309" s="1506"/>
      <c r="L309" s="220"/>
      <c r="M309" s="347"/>
      <c r="N309" s="340"/>
      <c r="O309" s="1630"/>
      <c r="P309" s="1630"/>
      <c r="AH309" s="1637">
        <v>0</v>
      </c>
    </row>
    <row s="1641" customFormat="1" customHeight="1" ht="18.75" hidden="1">
      <c r="A310" s="1786" t="s">
        <v>205</v>
      </c>
      <c r="B310" s="1786" t="s">
        <v>206</v>
      </c>
      <c r="C310" s="375"/>
      <c r="D310" s="2468"/>
      <c r="E310" s="2210"/>
      <c r="F310" s="2389" t="str">
        <f>INDEX(PT_DIFFERENTIATION_VTAR,MATCH(A310,PT_DIFFERENTIATION_VTAR_ID,0))</f>
        <v>Плата за подключение (технологическое присоединение) к системе теплоснабжения (индивидуальная)</v>
      </c>
      <c r="G310" s="2433" t="str">
        <f>INDEX(PT_DIFFERENTIATION_NTAR,MATCH(B310,PT_DIFFERENTIATION_NTAR_ID,0))</f>
        <v/>
      </c>
      <c r="H310" s="1995"/>
      <c r="I310" s="1745"/>
      <c r="J310" s="1779"/>
      <c r="K310" s="1784"/>
      <c r="L310" s="1995" t="s">
        <v>322</v>
      </c>
      <c r="M310" s="347"/>
      <c r="N310" s="340"/>
      <c r="O310" s="1630"/>
      <c r="P310" s="1630"/>
      <c r="AH310" s="1637">
        <v>0</v>
      </c>
    </row>
    <row s="1641" customFormat="1" customHeight="1" ht="18.75" hidden="1">
      <c r="A311" s="1786"/>
      <c r="B311" s="1786"/>
      <c r="C311" s="375" t="s">
        <v>1192</v>
      </c>
      <c r="D311" s="2468"/>
      <c r="E311" s="2210"/>
      <c r="F311" s="2389"/>
      <c r="G311" s="2433"/>
      <c r="H311" s="1506"/>
      <c r="I311" s="657" t="s">
        <v>1191</v>
      </c>
      <c r="J311" s="577"/>
      <c r="K311" s="1506"/>
      <c r="L311" s="220"/>
      <c r="M311" s="347"/>
      <c r="N311" s="340"/>
      <c r="O311" s="1630"/>
      <c r="P311" s="1630"/>
      <c r="AH311" s="1637">
        <v>0</v>
      </c>
    </row>
    <row s="1641" customFormat="1" customHeight="1" ht="0.75" hidden="1">
      <c r="A312" s="1786"/>
      <c r="B312" s="1786"/>
      <c r="C312" s="375" t="s">
        <v>1199</v>
      </c>
      <c r="D312" s="2468"/>
      <c r="E312" s="2210"/>
      <c r="F312" s="2389"/>
      <c r="G312" s="406"/>
      <c r="H312" s="1506"/>
      <c r="I312" s="657"/>
      <c r="J312" s="577"/>
      <c r="K312" s="1506"/>
      <c r="L312" s="220"/>
      <c r="M312" s="347"/>
      <c r="N312" s="340"/>
      <c r="O312" s="1630"/>
      <c r="P312" s="1630"/>
      <c r="AH312" s="1637">
        <v>0</v>
      </c>
    </row>
    <row s="1641" customFormat="1" customHeight="1" ht="18.75" hidden="1">
      <c r="A313" s="1786" t="s">
        <v>225</v>
      </c>
      <c r="B313" s="1786" t="s">
        <v>226</v>
      </c>
      <c r="C313" s="375"/>
      <c r="D313" s="2468"/>
      <c r="E313" s="2210"/>
      <c r="F313" s="2389" t="str">
        <f>INDEX(PT_DIFFERENTIATION_VTAR,MATCH(A313,PT_DIFFERENTIATION_VTAR_ID,0))</f>
        <v>Тариф на питьевую воду (питьевое водоснабжение)</v>
      </c>
      <c r="G313" s="2433" t="str">
        <f>INDEX(PT_DIFFERENTIATION_NTAR,MATCH(B313,PT_DIFFERENTIATION_NTAR_ID,0))</f>
        <v/>
      </c>
      <c r="H313" s="1868"/>
      <c r="I313" s="1745"/>
      <c r="J313" s="1779"/>
      <c r="K313" s="1784"/>
      <c r="L313" s="1868" t="s">
        <v>322</v>
      </c>
      <c r="M313" s="347"/>
      <c r="N313" s="340"/>
      <c r="O313" s="1630"/>
      <c r="P313" s="1630"/>
      <c r="AH313" s="1637">
        <v>0</v>
      </c>
    </row>
    <row s="1641" customFormat="1" customHeight="1" ht="18.75" hidden="1">
      <c r="A314" s="1786"/>
      <c r="B314" s="1786"/>
      <c r="C314" s="375" t="s">
        <v>1192</v>
      </c>
      <c r="D314" s="2468"/>
      <c r="E314" s="2210"/>
      <c r="F314" s="2389"/>
      <c r="G314" s="2433"/>
      <c r="H314" s="1506"/>
      <c r="I314" s="657" t="s">
        <v>1191</v>
      </c>
      <c r="J314" s="577"/>
      <c r="K314" s="1506"/>
      <c r="L314" s="220"/>
      <c r="M314" s="347"/>
      <c r="N314" s="340"/>
      <c r="O314" s="1630"/>
      <c r="P314" s="1630"/>
      <c r="AH314" s="1637">
        <v>0</v>
      </c>
    </row>
    <row s="1641" customFormat="1" customHeight="1" ht="0.75" hidden="1">
      <c r="A315" s="1786"/>
      <c r="B315" s="1786"/>
      <c r="C315" s="375" t="s">
        <v>1199</v>
      </c>
      <c r="D315" s="2468"/>
      <c r="E315" s="2210"/>
      <c r="F315" s="2389"/>
      <c r="G315" s="406"/>
      <c r="H315" s="1506"/>
      <c r="I315" s="657"/>
      <c r="J315" s="577"/>
      <c r="K315" s="1506"/>
      <c r="L315" s="220"/>
      <c r="M315" s="347"/>
      <c r="N315" s="340"/>
      <c r="O315" s="1630"/>
      <c r="P315" s="1630"/>
      <c r="AH315" s="1637">
        <v>0</v>
      </c>
    </row>
    <row s="1641" customFormat="1" customHeight="1" ht="18.75" hidden="1">
      <c r="A316" s="1786" t="s">
        <v>230</v>
      </c>
      <c r="B316" s="1786" t="s">
        <v>231</v>
      </c>
      <c r="C316" s="375"/>
      <c r="D316" s="2468"/>
      <c r="E316" s="2210"/>
      <c r="F316" s="2389" t="str">
        <f>INDEX(PT_DIFFERENTIATION_VTAR,MATCH(A316,PT_DIFFERENTIATION_VTAR_ID,0))</f>
        <v>Тариф на техническую воду</v>
      </c>
      <c r="G316" s="2433" t="str">
        <f>INDEX(PT_DIFFERENTIATION_NTAR,MATCH(B316,PT_DIFFERENTIATION_NTAR_ID,0))</f>
        <v/>
      </c>
      <c r="H316" s="1868"/>
      <c r="I316" s="1745"/>
      <c r="J316" s="1779"/>
      <c r="K316" s="1784"/>
      <c r="L316" s="1868" t="s">
        <v>322</v>
      </c>
      <c r="M316" s="347"/>
      <c r="N316" s="340"/>
      <c r="O316" s="1630"/>
      <c r="P316" s="1630"/>
      <c r="AH316" s="1637">
        <v>0</v>
      </c>
    </row>
    <row s="1641" customFormat="1" customHeight="1" ht="18.75" hidden="1">
      <c r="A317" s="1786"/>
      <c r="B317" s="1786"/>
      <c r="C317" s="375" t="s">
        <v>1192</v>
      </c>
      <c r="D317" s="2468"/>
      <c r="E317" s="2210"/>
      <c r="F317" s="2389"/>
      <c r="G317" s="2433"/>
      <c r="H317" s="1506"/>
      <c r="I317" s="657" t="s">
        <v>1191</v>
      </c>
      <c r="J317" s="577"/>
      <c r="K317" s="1506"/>
      <c r="L317" s="220"/>
      <c r="M317" s="347"/>
      <c r="N317" s="340"/>
      <c r="O317" s="1630"/>
      <c r="P317" s="1630"/>
      <c r="AH317" s="1637">
        <v>0</v>
      </c>
    </row>
    <row s="1641" customFormat="1" customHeight="1" ht="0.75" hidden="1">
      <c r="A318" s="1786"/>
      <c r="B318" s="1786"/>
      <c r="C318" s="375" t="s">
        <v>1199</v>
      </c>
      <c r="D318" s="2468"/>
      <c r="E318" s="2210"/>
      <c r="F318" s="2389"/>
      <c r="G318" s="406"/>
      <c r="H318" s="1506"/>
      <c r="I318" s="657"/>
      <c r="J318" s="577"/>
      <c r="K318" s="1506"/>
      <c r="L318" s="220"/>
      <c r="M318" s="347"/>
      <c r="N318" s="340"/>
      <c r="O318" s="1630"/>
      <c r="P318" s="1630"/>
      <c r="AH318" s="1637">
        <v>0</v>
      </c>
    </row>
    <row s="1641" customFormat="1" customHeight="1" ht="18.75" hidden="1">
      <c r="A319" s="1786" t="s">
        <v>235</v>
      </c>
      <c r="B319" s="1786" t="s">
        <v>236</v>
      </c>
      <c r="C319" s="375"/>
      <c r="D319" s="2468"/>
      <c r="E319" s="2210"/>
      <c r="F319" s="2389" t="str">
        <f>INDEX(PT_DIFFERENTIATION_VTAR,MATCH(A319,PT_DIFFERENTIATION_VTAR_ID,0))</f>
        <v>Тариф на транспортировку воды</v>
      </c>
      <c r="G319" s="2433" t="str">
        <f>INDEX(PT_DIFFERENTIATION_NTAR,MATCH(B319,PT_DIFFERENTIATION_NTAR_ID,0))</f>
        <v/>
      </c>
      <c r="H319" s="1868"/>
      <c r="I319" s="1745"/>
      <c r="J319" s="1779"/>
      <c r="K319" s="1784"/>
      <c r="L319" s="1868" t="s">
        <v>322</v>
      </c>
      <c r="M319" s="347"/>
      <c r="N319" s="340"/>
      <c r="O319" s="1630"/>
      <c r="P319" s="1630"/>
      <c r="AH319" s="1637">
        <v>0</v>
      </c>
    </row>
    <row s="1641" customFormat="1" customHeight="1" ht="18.75" hidden="1">
      <c r="A320" s="1786"/>
      <c r="B320" s="1786"/>
      <c r="C320" s="375" t="s">
        <v>1192</v>
      </c>
      <c r="D320" s="2468"/>
      <c r="E320" s="2210"/>
      <c r="F320" s="2389"/>
      <c r="G320" s="2433"/>
      <c r="H320" s="1506"/>
      <c r="I320" s="657" t="s">
        <v>1191</v>
      </c>
      <c r="J320" s="577"/>
      <c r="K320" s="1506"/>
      <c r="L320" s="220"/>
      <c r="M320" s="347"/>
      <c r="N320" s="340"/>
      <c r="O320" s="1630"/>
      <c r="P320" s="1630"/>
      <c r="AH320" s="1637">
        <v>0</v>
      </c>
    </row>
    <row s="1641" customFormat="1" customHeight="1" ht="0.75" hidden="1">
      <c r="A321" s="1786"/>
      <c r="B321" s="1786"/>
      <c r="C321" s="375" t="s">
        <v>1199</v>
      </c>
      <c r="D321" s="2468"/>
      <c r="E321" s="2210"/>
      <c r="F321" s="2389"/>
      <c r="G321" s="406"/>
      <c r="H321" s="1506"/>
      <c r="I321" s="657"/>
      <c r="J321" s="577"/>
      <c r="K321" s="1506"/>
      <c r="L321" s="220"/>
      <c r="M321" s="347"/>
      <c r="N321" s="340"/>
      <c r="O321" s="1630"/>
      <c r="P321" s="1630"/>
      <c r="AH321" s="1637">
        <v>0</v>
      </c>
    </row>
    <row s="1641" customFormat="1" customHeight="1" ht="18.75" hidden="1">
      <c r="A322" s="1786" t="s">
        <v>240</v>
      </c>
      <c r="B322" s="1786" t="s">
        <v>241</v>
      </c>
      <c r="C322" s="375"/>
      <c r="D322" s="2468"/>
      <c r="E322" s="2210"/>
      <c r="F322" s="2389" t="str">
        <f>INDEX(PT_DIFFERENTIATION_VTAR,MATCH(A322,PT_DIFFERENTIATION_VTAR_ID,0))</f>
        <v>Тариф на подвоз воды</v>
      </c>
      <c r="G322" s="2433" t="str">
        <f>INDEX(PT_DIFFERENTIATION_NTAR,MATCH(B322,PT_DIFFERENTIATION_NTAR_ID,0))</f>
        <v/>
      </c>
      <c r="H322" s="1868"/>
      <c r="I322" s="1745"/>
      <c r="J322" s="1779"/>
      <c r="K322" s="1784"/>
      <c r="L322" s="1868" t="s">
        <v>322</v>
      </c>
      <c r="M322" s="347"/>
      <c r="N322" s="340"/>
      <c r="O322" s="1630"/>
      <c r="P322" s="1630"/>
      <c r="AH322" s="1637">
        <v>0</v>
      </c>
    </row>
    <row s="1641" customFormat="1" customHeight="1" ht="18.75" hidden="1">
      <c r="A323" s="1786"/>
      <c r="B323" s="1786"/>
      <c r="C323" s="375" t="s">
        <v>1192</v>
      </c>
      <c r="D323" s="2468"/>
      <c r="E323" s="2210"/>
      <c r="F323" s="2389"/>
      <c r="G323" s="2433"/>
      <c r="H323" s="1506"/>
      <c r="I323" s="657" t="s">
        <v>1191</v>
      </c>
      <c r="J323" s="577"/>
      <c r="K323" s="1506"/>
      <c r="L323" s="220"/>
      <c r="M323" s="347"/>
      <c r="N323" s="340"/>
      <c r="O323" s="1630"/>
      <c r="P323" s="1630"/>
      <c r="AH323" s="1637">
        <v>0</v>
      </c>
    </row>
    <row s="1641" customFormat="1" customHeight="1" ht="0.75" hidden="1">
      <c r="A324" s="1786"/>
      <c r="B324" s="1786"/>
      <c r="C324" s="375" t="s">
        <v>1199</v>
      </c>
      <c r="D324" s="2468"/>
      <c r="E324" s="2210"/>
      <c r="F324" s="2389"/>
      <c r="G324" s="406"/>
      <c r="H324" s="1506"/>
      <c r="I324" s="657"/>
      <c r="J324" s="577"/>
      <c r="K324" s="1506"/>
      <c r="L324" s="220"/>
      <c r="M324" s="347"/>
      <c r="N324" s="340"/>
      <c r="O324" s="1630"/>
      <c r="P324" s="1630"/>
      <c r="AH324" s="1637">
        <v>0</v>
      </c>
    </row>
    <row s="1641" customFormat="1" customHeight="1" ht="18.75" hidden="1">
      <c r="A325" s="1786" t="s">
        <v>247</v>
      </c>
      <c r="B325" s="1786" t="s">
        <v>248</v>
      </c>
      <c r="C325" s="375"/>
      <c r="D325" s="2468"/>
      <c r="E325" s="2210"/>
      <c r="F325" s="2389"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2433" t="str">
        <f>INDEX(PT_DIFFERENTIATION_NTAR,MATCH(B325,PT_DIFFERENTIATION_NTAR_ID,0))</f>
        <v>Ставка тарифа на подключаемую нагрузку к централизованной системе холодного водоснабжения АО "ДГК" СП "Нерюнгринская ГРЭС" на 2026 год </v>
      </c>
      <c r="H325" s="1868"/>
      <c r="I325" s="1745"/>
      <c r="J325" s="1779"/>
      <c r="K325" s="1784"/>
      <c r="L325" s="1868" t="s">
        <v>322</v>
      </c>
      <c r="M325" s="347"/>
      <c r="N325" s="340"/>
      <c r="O325" s="1630"/>
      <c r="P325" s="1630"/>
      <c r="AH325" s="1637">
        <v>0</v>
      </c>
    </row>
    <row s="1641" customFormat="1" customHeight="1" ht="18.75" hidden="1">
      <c r="A326" s="1786"/>
      <c r="B326" s="1786"/>
      <c r="C326" s="375" t="s">
        <v>1192</v>
      </c>
      <c r="D326" s="2468"/>
      <c r="E326" s="2210"/>
      <c r="F326" s="2389"/>
      <c r="G326" s="2433"/>
      <c r="H326" s="1506"/>
      <c r="I326" s="657" t="s">
        <v>1191</v>
      </c>
      <c r="J326" s="577"/>
      <c r="K326" s="1506"/>
      <c r="L326" s="220"/>
      <c r="M326" s="347"/>
      <c r="N326" s="340"/>
      <c r="O326" s="1630"/>
      <c r="P326" s="1630"/>
      <c r="AH326" s="1637">
        <v>0</v>
      </c>
    </row>
    <row s="1641" customFormat="1" customHeight="1" ht="18.75">
      <c r="A327" s="1829" t="s">
        <v>247</v>
      </c>
      <c r="B327" s="1829" t="s">
        <v>255</v>
      </c>
      <c r="C327" s="1693"/>
      <c r="D327" s="350"/>
      <c r="E327" s="1037"/>
      <c r="F327" s="1037"/>
      <c r="G327" s="2433" t="str">
        <f>INDEX(PT_DIFFERENTIATION_NTAR,MATCH(B327,PT_DIFFERENTIATION_NTAR_ID,0))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(без учета расходов на благоустройство)</v>
      </c>
      <c r="H327" s="2277"/>
      <c r="I327" s="1745"/>
      <c r="J327" s="1779"/>
      <c r="K327" s="1784"/>
      <c r="L327" s="2277" t="s">
        <v>322</v>
      </c>
      <c r="M327" s="2324"/>
      <c r="N327" s="624"/>
      <c r="O327" s="1630"/>
      <c r="P327" s="1630"/>
      <c r="Q327" s="1641"/>
      <c r="R327" s="1641"/>
      <c r="S327" s="1641"/>
      <c r="T327" s="1641"/>
      <c r="U327" s="1641"/>
      <c r="V327" s="1641"/>
      <c r="W327" s="1641"/>
      <c r="X327" s="1641"/>
      <c r="Y327" s="1641"/>
      <c r="Z327" s="1641"/>
      <c r="AA327" s="1641"/>
      <c r="AB327" s="1641"/>
      <c r="AC327" s="1641"/>
      <c r="AD327" s="1641"/>
      <c r="AE327" s="1641"/>
      <c r="AF327" s="1641"/>
      <c r="AG327" s="1641"/>
      <c r="AH327" s="1641">
        <v>0</v>
      </c>
    </row>
    <row s="1641" customFormat="1" customHeight="1" ht="18.75">
      <c r="A328" s="1829"/>
      <c r="B328" s="1829"/>
      <c r="C328" s="1693" t="s">
        <v>1192</v>
      </c>
      <c r="D328" s="350"/>
      <c r="E328" s="1037"/>
      <c r="F328" s="1037"/>
      <c r="G328" s="2433"/>
      <c r="H328" s="3108"/>
      <c r="I328" s="3109" t="s">
        <v>1191</v>
      </c>
      <c r="J328" s="3110"/>
      <c r="K328" s="3111"/>
      <c r="L328" s="3112"/>
      <c r="M328" s="2324"/>
      <c r="N328" s="624"/>
      <c r="O328" s="1630"/>
      <c r="P328" s="1630"/>
      <c r="Q328" s="1641"/>
      <c r="R328" s="1641"/>
      <c r="S328" s="1641"/>
      <c r="T328" s="1641"/>
      <c r="U328" s="1641"/>
      <c r="V328" s="1641"/>
      <c r="W328" s="1641"/>
      <c r="X328" s="1641"/>
      <c r="Y328" s="1641"/>
      <c r="Z328" s="1641"/>
      <c r="AA328" s="1641"/>
      <c r="AB328" s="1641"/>
      <c r="AC328" s="1641"/>
      <c r="AD328" s="1641"/>
      <c r="AE328" s="1641"/>
      <c r="AF328" s="1641"/>
      <c r="AG328" s="1641"/>
      <c r="AH328" s="1641">
        <v>0</v>
      </c>
    </row>
    <row s="1641" customFormat="1" customHeight="1" ht="18.75">
      <c r="A329" s="1829" t="s">
        <v>247</v>
      </c>
      <c r="B329" s="1829" t="s">
        <v>260</v>
      </c>
      <c r="C329" s="1693"/>
      <c r="D329" s="350"/>
      <c r="E329" s="1037"/>
      <c r="F329" s="1037"/>
      <c r="G329" s="2433" t="str">
        <f>INDEX(PT_DIFFERENTIATION_NTAR,MATCH(B329,PT_DIFFERENTIATION_NTAR_ID,0))</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(с учетом расходов на благоустройство)</v>
      </c>
      <c r="H329" s="2277"/>
      <c r="I329" s="1745"/>
      <c r="J329" s="1779"/>
      <c r="K329" s="1784"/>
      <c r="L329" s="2277" t="s">
        <v>322</v>
      </c>
      <c r="M329" s="2324"/>
      <c r="N329" s="624"/>
      <c r="O329" s="1630"/>
      <c r="P329" s="1630"/>
      <c r="Q329" s="1641"/>
      <c r="R329" s="1641"/>
      <c r="S329" s="1641"/>
      <c r="T329" s="1641"/>
      <c r="U329" s="1641"/>
      <c r="V329" s="1641"/>
      <c r="W329" s="1641"/>
      <c r="X329" s="1641"/>
      <c r="Y329" s="1641"/>
      <c r="Z329" s="1641"/>
      <c r="AA329" s="1641"/>
      <c r="AB329" s="1641"/>
      <c r="AC329" s="1641"/>
      <c r="AD329" s="1641"/>
      <c r="AE329" s="1641"/>
      <c r="AF329" s="1641"/>
      <c r="AG329" s="1641"/>
      <c r="AH329" s="1641">
        <v>0</v>
      </c>
    </row>
    <row s="1641" customFormat="1" customHeight="1" ht="18.75">
      <c r="A330" s="1829"/>
      <c r="B330" s="1829"/>
      <c r="C330" s="1693" t="s">
        <v>1192</v>
      </c>
      <c r="D330" s="350"/>
      <c r="E330" s="1037"/>
      <c r="F330" s="1037"/>
      <c r="G330" s="2433"/>
      <c r="H330" s="3113"/>
      <c r="I330" s="3114" t="s">
        <v>1191</v>
      </c>
      <c r="J330" s="3115"/>
      <c r="K330" s="3116"/>
      <c r="L330" s="3117"/>
      <c r="M330" s="2324"/>
      <c r="N330" s="624"/>
      <c r="O330" s="1630"/>
      <c r="P330" s="1630"/>
      <c r="Q330" s="1641"/>
      <c r="R330" s="1641"/>
      <c r="S330" s="1641"/>
      <c r="T330" s="1641"/>
      <c r="U330" s="1641"/>
      <c r="V330" s="1641"/>
      <c r="W330" s="1641"/>
      <c r="X330" s="1641"/>
      <c r="Y330" s="1641"/>
      <c r="Z330" s="1641"/>
      <c r="AA330" s="1641"/>
      <c r="AB330" s="1641"/>
      <c r="AC330" s="1641"/>
      <c r="AD330" s="1641"/>
      <c r="AE330" s="1641"/>
      <c r="AF330" s="1641"/>
      <c r="AG330" s="1641"/>
      <c r="AH330" s="1641">
        <v>0</v>
      </c>
    </row>
    <row s="1641" customFormat="1" customHeight="1" ht="0.75" hidden="1">
      <c r="A331" s="1786"/>
      <c r="B331" s="1786"/>
      <c r="C331" s="375" t="s">
        <v>1199</v>
      </c>
      <c r="D331" s="2468"/>
      <c r="E331" s="2210"/>
      <c r="F331" s="2389"/>
      <c r="G331" s="406"/>
      <c r="H331" s="1506"/>
      <c r="I331" s="657"/>
      <c r="J331" s="577"/>
      <c r="K331" s="1506"/>
      <c r="L331" s="220"/>
      <c r="M331" s="347"/>
      <c r="N331" s="340"/>
      <c r="O331" s="1630"/>
      <c r="P331" s="1630"/>
      <c r="AH331" s="1637">
        <v>0</v>
      </c>
    </row>
    <row s="1641" customFormat="1" customHeight="1" ht="18.75" hidden="1">
      <c r="A332" s="1786" t="s">
        <v>266</v>
      </c>
      <c r="B332" s="1786" t="s">
        <v>267</v>
      </c>
      <c r="C332" s="375"/>
      <c r="D332" s="2468"/>
      <c r="E332" s="2210"/>
      <c r="F332" s="2389" t="str">
        <f>INDEX(PT_DIFFERENTIATION_VTAR,MATCH(A332,PT_DIFFERENTIATION_VTAR_ID,0))</f>
        <v>Тариф на горячую воду (горячее водоснабжение)</v>
      </c>
      <c r="G332" s="2433" t="str">
        <f>INDEX(PT_DIFFERENTIATION_NTAR,MATCH(B332,PT_DIFFERENTIATION_NTAR_ID,0))</f>
        <v/>
      </c>
      <c r="H332" s="1868"/>
      <c r="I332" s="1745"/>
      <c r="J332" s="1779"/>
      <c r="K332" s="1784"/>
      <c r="L332" s="1868" t="s">
        <v>322</v>
      </c>
      <c r="M332" s="347"/>
      <c r="N332" s="340"/>
      <c r="O332" s="1630"/>
      <c r="P332" s="1630"/>
      <c r="AH332" s="1637">
        <v>0</v>
      </c>
    </row>
    <row s="1641" customFormat="1" customHeight="1" ht="18.75" hidden="1">
      <c r="A333" s="1786"/>
      <c r="B333" s="1786"/>
      <c r="C333" s="375" t="s">
        <v>1192</v>
      </c>
      <c r="D333" s="2468"/>
      <c r="E333" s="2210"/>
      <c r="F333" s="2389"/>
      <c r="G333" s="2433"/>
      <c r="H333" s="1506"/>
      <c r="I333" s="657" t="s">
        <v>1191</v>
      </c>
      <c r="J333" s="577"/>
      <c r="K333" s="1506"/>
      <c r="L333" s="220"/>
      <c r="M333" s="347"/>
      <c r="N333" s="340"/>
      <c r="O333" s="1630"/>
      <c r="P333" s="1630"/>
      <c r="AH333" s="1637">
        <v>0</v>
      </c>
    </row>
    <row s="1641" customFormat="1" customHeight="1" ht="0.75" hidden="1">
      <c r="A334" s="1786"/>
      <c r="B334" s="1786"/>
      <c r="C334" s="375" t="s">
        <v>1199</v>
      </c>
      <c r="D334" s="2468"/>
      <c r="E334" s="2210"/>
      <c r="F334" s="2389"/>
      <c r="G334" s="406"/>
      <c r="H334" s="1506"/>
      <c r="I334" s="657"/>
      <c r="J334" s="577"/>
      <c r="K334" s="1506"/>
      <c r="L334" s="220"/>
      <c r="M334" s="347"/>
      <c r="N334" s="340"/>
      <c r="O334" s="1630"/>
      <c r="P334" s="1630"/>
      <c r="AH334" s="1637">
        <v>0</v>
      </c>
    </row>
    <row s="1641" customFormat="1" customHeight="1" ht="18.75" hidden="1">
      <c r="A335" s="1786" t="s">
        <v>271</v>
      </c>
      <c r="B335" s="1786" t="s">
        <v>272</v>
      </c>
      <c r="C335" s="375"/>
      <c r="D335" s="2468"/>
      <c r="E335" s="2210"/>
      <c r="F335" s="2389" t="str">
        <f>INDEX(PT_DIFFERENTIATION_VTAR,MATCH(A335,PT_DIFFERENTIATION_VTAR_ID,0))</f>
        <v>Тариф на транспортировку горячей воды</v>
      </c>
      <c r="G335" s="2433" t="str">
        <f>INDEX(PT_DIFFERENTIATION_NTAR,MATCH(B335,PT_DIFFERENTIATION_NTAR_ID,0))</f>
        <v/>
      </c>
      <c r="H335" s="1868"/>
      <c r="I335" s="1745"/>
      <c r="J335" s="1779"/>
      <c r="K335" s="1784"/>
      <c r="L335" s="1868" t="s">
        <v>322</v>
      </c>
      <c r="M335" s="347"/>
      <c r="N335" s="340"/>
      <c r="O335" s="1630"/>
      <c r="P335" s="1630"/>
      <c r="AH335" s="1637">
        <v>0</v>
      </c>
    </row>
    <row s="1641" customFormat="1" customHeight="1" ht="18.75" hidden="1">
      <c r="A336" s="1786"/>
      <c r="B336" s="1786"/>
      <c r="C336" s="375" t="s">
        <v>1192</v>
      </c>
      <c r="D336" s="2468"/>
      <c r="E336" s="2210"/>
      <c r="F336" s="2389"/>
      <c r="G336" s="2433"/>
      <c r="H336" s="1506"/>
      <c r="I336" s="657" t="s">
        <v>1191</v>
      </c>
      <c r="J336" s="577"/>
      <c r="K336" s="1506"/>
      <c r="L336" s="220"/>
      <c r="M336" s="347"/>
      <c r="N336" s="340"/>
      <c r="O336" s="1630"/>
      <c r="P336" s="1630"/>
      <c r="AH336" s="1637">
        <v>0</v>
      </c>
    </row>
    <row s="1641" customFormat="1" customHeight="1" ht="0.75" hidden="1">
      <c r="A337" s="1786"/>
      <c r="B337" s="1786"/>
      <c r="C337" s="375" t="s">
        <v>1199</v>
      </c>
      <c r="D337" s="2468"/>
      <c r="E337" s="2210"/>
      <c r="F337" s="2389"/>
      <c r="G337" s="406"/>
      <c r="H337" s="1506"/>
      <c r="I337" s="657"/>
      <c r="J337" s="577"/>
      <c r="K337" s="1506"/>
      <c r="L337" s="220"/>
      <c r="M337" s="347"/>
      <c r="N337" s="340"/>
      <c r="O337" s="1630"/>
      <c r="P337" s="1630"/>
      <c r="AH337" s="1637">
        <v>0</v>
      </c>
    </row>
    <row s="1641" customFormat="1" customHeight="1" ht="18.75" hidden="1">
      <c r="A338" s="1786" t="s">
        <v>276</v>
      </c>
      <c r="B338" s="1786" t="s">
        <v>277</v>
      </c>
      <c r="C338" s="375"/>
      <c r="D338" s="2468"/>
      <c r="E338" s="2210"/>
      <c r="F338" s="2389" t="str">
        <f>INDEX(PT_DIFFERENTIATION_VTAR,MATCH(A338,PT_DIFFERENTIATION_VTAR_ID,0))</f>
        <v>Тариф на подключение (технологическое присоединение) к централизованной системе горячего водоснабжения</v>
      </c>
      <c r="G338" s="2433" t="str">
        <f>INDEX(PT_DIFFERENTIATION_NTAR,MATCH(B338,PT_DIFFERENTIATION_NTAR_ID,0))</f>
        <v/>
      </c>
      <c r="H338" s="1868"/>
      <c r="I338" s="1745"/>
      <c r="J338" s="1779"/>
      <c r="K338" s="1784"/>
      <c r="L338" s="1868" t="s">
        <v>322</v>
      </c>
      <c r="M338" s="347"/>
      <c r="N338" s="340"/>
      <c r="O338" s="1630"/>
      <c r="P338" s="1630"/>
      <c r="AH338" s="1637">
        <v>0</v>
      </c>
    </row>
    <row s="1641" customFormat="1" customHeight="1" ht="18.75" hidden="1">
      <c r="A339" s="1786"/>
      <c r="B339" s="1786"/>
      <c r="C339" s="375" t="s">
        <v>1192</v>
      </c>
      <c r="D339" s="2468"/>
      <c r="E339" s="2210"/>
      <c r="F339" s="2389"/>
      <c r="G339" s="2433"/>
      <c r="H339" s="1506"/>
      <c r="I339" s="657" t="s">
        <v>1191</v>
      </c>
      <c r="J339" s="577"/>
      <c r="K339" s="1506"/>
      <c r="L339" s="220"/>
      <c r="M339" s="347"/>
      <c r="N339" s="340"/>
      <c r="O339" s="1630"/>
      <c r="P339" s="1630"/>
      <c r="AH339" s="1637">
        <v>0</v>
      </c>
    </row>
    <row s="1641" customFormat="1" customHeight="1" ht="0.75" hidden="1">
      <c r="A340" s="1786"/>
      <c r="B340" s="1786"/>
      <c r="C340" s="375" t="s">
        <v>1199</v>
      </c>
      <c r="D340" s="2468"/>
      <c r="E340" s="2210"/>
      <c r="F340" s="2389"/>
      <c r="G340" s="406"/>
      <c r="H340" s="1506"/>
      <c r="I340" s="657"/>
      <c r="J340" s="577"/>
      <c r="K340" s="1506"/>
      <c r="L340" s="220"/>
      <c r="M340" s="347"/>
      <c r="N340" s="340"/>
      <c r="O340" s="1630"/>
      <c r="P340" s="1630"/>
      <c r="AH340" s="1637">
        <v>0</v>
      </c>
    </row>
    <row s="1641" customFormat="1" customHeight="1" ht="18.75" hidden="1">
      <c r="A341" s="1786" t="s">
        <v>281</v>
      </c>
      <c r="B341" s="1786" t="s">
        <v>282</v>
      </c>
      <c r="C341" s="375"/>
      <c r="D341" s="2468"/>
      <c r="E341" s="2210"/>
      <c r="F341" s="2389" t="str">
        <f>INDEX(PT_DIFFERENTIATION_VTAR,MATCH(A341,PT_DIFFERENTIATION_VTAR_ID,0))</f>
        <v>Тариф на водоотведение</v>
      </c>
      <c r="G341" s="2433" t="str">
        <f>INDEX(PT_DIFFERENTIATION_NTAR,MATCH(B341,PT_DIFFERENTIATION_NTAR_ID,0))</f>
        <v/>
      </c>
      <c r="H341" s="1868"/>
      <c r="I341" s="1745"/>
      <c r="J341" s="1779"/>
      <c r="K341" s="1784"/>
      <c r="L341" s="1868" t="s">
        <v>322</v>
      </c>
      <c r="M341" s="347"/>
      <c r="N341" s="340"/>
      <c r="O341" s="1630"/>
      <c r="P341" s="1630"/>
      <c r="AH341" s="1637">
        <v>0</v>
      </c>
    </row>
    <row s="1641" customFormat="1" customHeight="1" ht="18.75" hidden="1">
      <c r="A342" s="1786"/>
      <c r="B342" s="1786"/>
      <c r="C342" s="375" t="s">
        <v>1192</v>
      </c>
      <c r="D342" s="2468"/>
      <c r="E342" s="2210"/>
      <c r="F342" s="2389"/>
      <c r="G342" s="2433"/>
      <c r="H342" s="1506"/>
      <c r="I342" s="657" t="s">
        <v>1191</v>
      </c>
      <c r="J342" s="577"/>
      <c r="K342" s="1506"/>
      <c r="L342" s="220"/>
      <c r="M342" s="347"/>
      <c r="N342" s="340"/>
      <c r="O342" s="1630"/>
      <c r="P342" s="1630"/>
      <c r="AH342" s="1637">
        <v>0</v>
      </c>
    </row>
    <row s="1641" customFormat="1" customHeight="1" ht="0.75" hidden="1">
      <c r="A343" s="1786"/>
      <c r="B343" s="1786"/>
      <c r="C343" s="375" t="s">
        <v>1199</v>
      </c>
      <c r="D343" s="2468"/>
      <c r="E343" s="2210"/>
      <c r="F343" s="2389"/>
      <c r="G343" s="406"/>
      <c r="H343" s="1506"/>
      <c r="I343" s="657"/>
      <c r="J343" s="577"/>
      <c r="K343" s="1506"/>
      <c r="L343" s="220"/>
      <c r="M343" s="347"/>
      <c r="N343" s="340"/>
      <c r="O343" s="1630"/>
      <c r="P343" s="1630"/>
      <c r="AH343" s="1637">
        <v>0</v>
      </c>
    </row>
    <row s="1641" customFormat="1" customHeight="1" ht="18.75" hidden="1">
      <c r="A344" s="1786" t="s">
        <v>286</v>
      </c>
      <c r="B344" s="1786" t="s">
        <v>287</v>
      </c>
      <c r="C344" s="375"/>
      <c r="D344" s="2468"/>
      <c r="E344" s="2210"/>
      <c r="F344" s="2389" t="str">
        <f>INDEX(PT_DIFFERENTIATION_VTAR,MATCH(A344,PT_DIFFERENTIATION_VTAR_ID,0))</f>
        <v>Тариф на транспортировку сточных вод</v>
      </c>
      <c r="G344" s="2433" t="str">
        <f>INDEX(PT_DIFFERENTIATION_NTAR,MATCH(B344,PT_DIFFERENTIATION_NTAR_ID,0))</f>
        <v/>
      </c>
      <c r="H344" s="1868"/>
      <c r="I344" s="1745"/>
      <c r="J344" s="1779"/>
      <c r="K344" s="1784"/>
      <c r="L344" s="1868" t="s">
        <v>322</v>
      </c>
      <c r="M344" s="347"/>
      <c r="N344" s="340"/>
      <c r="O344" s="1630"/>
      <c r="P344" s="1630"/>
      <c r="AH344" s="1637">
        <v>0</v>
      </c>
    </row>
    <row s="1641" customFormat="1" customHeight="1" ht="18.75" hidden="1">
      <c r="A345" s="1786"/>
      <c r="B345" s="1786"/>
      <c r="C345" s="375" t="s">
        <v>1192</v>
      </c>
      <c r="D345" s="2468"/>
      <c r="E345" s="2210"/>
      <c r="F345" s="2389"/>
      <c r="G345" s="2433"/>
      <c r="H345" s="1506"/>
      <c r="I345" s="657" t="s">
        <v>1191</v>
      </c>
      <c r="J345" s="577"/>
      <c r="K345" s="1506"/>
      <c r="L345" s="220"/>
      <c r="M345" s="347"/>
      <c r="N345" s="340"/>
      <c r="O345" s="1630"/>
      <c r="P345" s="1630"/>
      <c r="AH345" s="1637">
        <v>0</v>
      </c>
    </row>
    <row s="1641" customFormat="1" customHeight="1" ht="0.75" hidden="1">
      <c r="A346" s="1786"/>
      <c r="B346" s="1786"/>
      <c r="C346" s="375" t="s">
        <v>1199</v>
      </c>
      <c r="D346" s="2468"/>
      <c r="E346" s="2210"/>
      <c r="F346" s="2389"/>
      <c r="G346" s="406"/>
      <c r="H346" s="1506"/>
      <c r="I346" s="657"/>
      <c r="J346" s="577"/>
      <c r="K346" s="1506"/>
      <c r="L346" s="220"/>
      <c r="M346" s="347"/>
      <c r="N346" s="340"/>
      <c r="O346" s="1630"/>
      <c r="P346" s="1630"/>
      <c r="AH346" s="1637">
        <v>0</v>
      </c>
    </row>
    <row s="1641" customFormat="1" customHeight="1" ht="18.75" hidden="1">
      <c r="A347" s="1786" t="s">
        <v>291</v>
      </c>
      <c r="B347" s="1786" t="s">
        <v>292</v>
      </c>
      <c r="C347" s="375"/>
      <c r="D347" s="2468"/>
      <c r="E347" s="2210"/>
      <c r="F347" s="2389" t="str">
        <f>INDEX(PT_DIFFERENTIATION_VTAR,MATCH(A347,PT_DIFFERENTIATION_VTAR_ID,0))</f>
        <v>Тариф на подключение (технологическое присоединение) к централизованной системе водоотведения</v>
      </c>
      <c r="G347" s="2433" t="str">
        <f>INDEX(PT_DIFFERENTIATION_NTAR,MATCH(B347,PT_DIFFERENTIATION_NTAR_ID,0))</f>
        <v/>
      </c>
      <c r="H347" s="1868"/>
      <c r="I347" s="1745"/>
      <c r="J347" s="1779"/>
      <c r="K347" s="1784"/>
      <c r="L347" s="1868" t="s">
        <v>322</v>
      </c>
      <c r="M347" s="347"/>
      <c r="N347" s="340"/>
      <c r="O347" s="1630"/>
      <c r="P347" s="1630"/>
      <c r="AH347" s="1637">
        <v>0</v>
      </c>
    </row>
    <row s="1641" customFormat="1" customHeight="1" ht="18.75" hidden="1">
      <c r="A348" s="1786"/>
      <c r="B348" s="1786"/>
      <c r="C348" s="375" t="s">
        <v>1192</v>
      </c>
      <c r="D348" s="2468"/>
      <c r="E348" s="2210"/>
      <c r="F348" s="2389"/>
      <c r="G348" s="2433"/>
      <c r="H348" s="1506"/>
      <c r="I348" s="657" t="s">
        <v>1191</v>
      </c>
      <c r="J348" s="577"/>
      <c r="K348" s="1506"/>
      <c r="L348" s="220"/>
      <c r="M348" s="347"/>
      <c r="N348" s="340"/>
      <c r="O348" s="1630"/>
      <c r="P348" s="1630"/>
      <c r="AH348" s="1637">
        <v>0</v>
      </c>
    </row>
    <row s="1641" customFormat="1" customHeight="1" ht="1.05">
      <c r="A349" s="1786"/>
      <c r="B349" s="1786"/>
      <c r="C349" s="375" t="s">
        <v>1199</v>
      </c>
      <c r="D349" s="2468"/>
      <c r="E349" s="2210"/>
      <c r="F349" s="2389"/>
      <c r="G349" s="406"/>
      <c r="H349" s="1506"/>
      <c r="I349" s="657"/>
      <c r="J349" s="577"/>
      <c r="K349" s="1506"/>
      <c r="L349" s="220"/>
      <c r="M349" s="347"/>
      <c r="N349" s="340"/>
      <c r="O349" s="1630"/>
      <c r="P349" s="1630"/>
      <c r="AH349" s="1637">
        <v>1</v>
      </c>
    </row>
    <row s="1829" customFormat="1" customHeight="1" ht="3">
      <c r="A350" s="1786"/>
      <c r="B350" s="1786"/>
      <c r="C350" s="1787"/>
      <c r="E350" s="408"/>
      <c r="F350" s="408"/>
      <c r="G350" s="408"/>
      <c r="H350" s="408"/>
      <c r="I350" s="408"/>
      <c r="J350" s="408"/>
      <c r="K350" s="408"/>
      <c r="L350" s="408"/>
      <c r="M350" s="408"/>
      <c r="O350" s="202"/>
      <c r="P350" s="202"/>
      <c r="AH350" s="146">
        <v>3</v>
      </c>
    </row>
    <row customHeight="1" ht="26.25">
      <c r="E351" s="208"/>
      <c r="F351" s="2291"/>
      <c r="G351" s="2291"/>
      <c r="H351" s="2291"/>
      <c r="I351" s="2291"/>
      <c r="J351" s="2291"/>
      <c r="K351" s="2291"/>
      <c r="L351" s="2291"/>
      <c r="M351" s="2291"/>
      <c r="AH351" s="380">
        <v>25</v>
      </c>
    </row>
    <row customHeight="1" ht="14.25" hidden="1">
      <c r="A352" s="1785" t="s">
        <v>83</v>
      </c>
      <c r="B352" s="1785">
        <v>0</v>
      </c>
      <c r="C352" s="375">
        <v>0</v>
      </c>
      <c r="D352" s="350">
        <v>3</v>
      </c>
      <c r="E352" s="380">
        <v>6</v>
      </c>
      <c r="F352" s="380">
        <v>46</v>
      </c>
      <c r="G352" s="380">
        <v>35</v>
      </c>
      <c r="H352" s="380">
        <v>3</v>
      </c>
      <c r="I352" s="380">
        <v>11</v>
      </c>
      <c r="J352" s="380">
        <v>11</v>
      </c>
      <c r="K352" s="380">
        <v>35</v>
      </c>
      <c r="L352" s="380">
        <v>35</v>
      </c>
      <c r="M352" s="380">
        <v>84</v>
      </c>
      <c r="N352" s="380">
        <v>10</v>
      </c>
      <c r="O352" s="356">
        <v>10</v>
      </c>
      <c r="P352" s="356">
        <v>10</v>
      </c>
      <c r="Q352" s="380">
        <v>10</v>
      </c>
      <c r="R352" s="380">
        <v>10</v>
      </c>
      <c r="S352" s="380">
        <v>10</v>
      </c>
      <c r="T352" s="380">
        <v>10</v>
      </c>
      <c r="U352" s="380">
        <v>10</v>
      </c>
      <c r="V352" s="380">
        <v>10</v>
      </c>
      <c r="W352" s="380">
        <v>10</v>
      </c>
      <c r="X352" s="380">
        <v>10</v>
      </c>
      <c r="Y352" s="380">
        <v>10</v>
      </c>
      <c r="Z352" s="380">
        <v>10</v>
      </c>
      <c r="AA352" s="380">
        <v>10</v>
      </c>
      <c r="AB352" s="380">
        <v>10</v>
      </c>
      <c r="AC352" s="380">
        <v>10</v>
      </c>
      <c r="AD352" s="380">
        <v>10</v>
      </c>
      <c r="AE352" s="380">
        <v>10</v>
      </c>
      <c r="AF352" s="380">
        <v>10</v>
      </c>
      <c r="AG352" s="380">
        <v>10</v>
      </c>
      <c r="AH352" s="380">
        <v>14</v>
      </c>
    </row>
  </sheetData>
  <sheetProtection sheet="1" formatColumns="0" formatRows="0" autoFilter="0" sort="1" insertRows="1" insertColumns="1" deleteRows="1" deleteColumns="1"/>
  <mergeCells count="438">
    <mergeCell ref="G48:G49"/>
    <mergeCell ref="D115:D117"/>
    <mergeCell ref="E115:E117"/>
    <mergeCell ref="F115:F117"/>
    <mergeCell ref="G115:G116"/>
    <mergeCell ref="D180:D182"/>
    <mergeCell ref="E180:E182"/>
    <mergeCell ref="F180:F182"/>
    <mergeCell ref="G180:G181"/>
    <mergeCell ref="D73:D75"/>
    <mergeCell ref="E73:E75"/>
    <mergeCell ref="F73:F75"/>
    <mergeCell ref="D94:D96"/>
    <mergeCell ref="E94:E96"/>
    <mergeCell ref="D76:D78"/>
    <mergeCell ref="E76:E78"/>
    <mergeCell ref="F76:F78"/>
    <mergeCell ref="G165:G166"/>
    <mergeCell ref="G168:G169"/>
    <mergeCell ref="E48:E50"/>
    <mergeCell ref="F48:F50"/>
    <mergeCell ref="G100:G101"/>
    <mergeCell ref="G103:G104"/>
    <mergeCell ref="D79:D8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51:M351"/>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7:D349"/>
    <mergeCell ref="E347:E349"/>
    <mergeCell ref="G45:G46"/>
    <mergeCell ref="G51:G52"/>
    <mergeCell ref="G54:G55"/>
    <mergeCell ref="G57:G58"/>
    <mergeCell ref="M221:M224"/>
    <mergeCell ref="M91:M94"/>
    <mergeCell ref="F155:L155"/>
    <mergeCell ref="M156:M159"/>
    <mergeCell ref="F220:L220"/>
    <mergeCell ref="F51:F53"/>
    <mergeCell ref="F54:F56"/>
    <mergeCell ref="F79:F81"/>
    <mergeCell ref="F82:F84"/>
    <mergeCell ref="F94:F96"/>
    <mergeCell ref="F97:F99"/>
    <mergeCell ref="M24:M87"/>
    <mergeCell ref="G42:G43"/>
    <mergeCell ref="G137:G138"/>
    <mergeCell ref="G140:G141"/>
    <mergeCell ref="G143:G144"/>
    <mergeCell ref="G146:G147"/>
    <mergeCell ref="G162:G163"/>
    <mergeCell ref="G94:G95"/>
    <mergeCell ref="G97:G98"/>
    <mergeCell ref="D45:D47"/>
    <mergeCell ref="E45:E47"/>
    <mergeCell ref="F45:F47"/>
    <mergeCell ref="D63:D69"/>
    <mergeCell ref="E63:E69"/>
    <mergeCell ref="F63:F69"/>
    <mergeCell ref="D70:D72"/>
    <mergeCell ref="E70:E72"/>
    <mergeCell ref="F70:F72"/>
    <mergeCell ref="D57:D59"/>
    <mergeCell ref="E57:E59"/>
    <mergeCell ref="F57:F59"/>
    <mergeCell ref="D60:D62"/>
    <mergeCell ref="E60:E62"/>
    <mergeCell ref="F60:F62"/>
    <mergeCell ref="D51:D53"/>
    <mergeCell ref="E51:E53"/>
    <mergeCell ref="D54:D56"/>
    <mergeCell ref="E54:E56"/>
    <mergeCell ref="D48:D50"/>
    <mergeCell ref="E79:E81"/>
    <mergeCell ref="D82:D84"/>
    <mergeCell ref="E82:E84"/>
    <mergeCell ref="D97:D99"/>
    <mergeCell ref="E97:E99"/>
    <mergeCell ref="D112:D114"/>
    <mergeCell ref="E112:E114"/>
    <mergeCell ref="F112:F114"/>
    <mergeCell ref="F100:F102"/>
    <mergeCell ref="D103:D105"/>
    <mergeCell ref="E103:E105"/>
    <mergeCell ref="F103:F105"/>
    <mergeCell ref="D85:D87"/>
    <mergeCell ref="E85:E87"/>
    <mergeCell ref="F85:F87"/>
    <mergeCell ref="D91:D93"/>
    <mergeCell ref="E91:E93"/>
    <mergeCell ref="F91:F93"/>
    <mergeCell ref="D100:D102"/>
    <mergeCell ref="E100:E102"/>
    <mergeCell ref="F88:L88"/>
    <mergeCell ref="H89:I89"/>
    <mergeCell ref="F90:L90"/>
    <mergeCell ref="G106:G107"/>
    <mergeCell ref="D118:D120"/>
    <mergeCell ref="E118:E120"/>
    <mergeCell ref="F118:F120"/>
    <mergeCell ref="D106:D108"/>
    <mergeCell ref="E106:E108"/>
    <mergeCell ref="F106:F108"/>
    <mergeCell ref="D109:D111"/>
    <mergeCell ref="E109:E111"/>
    <mergeCell ref="F109:F111"/>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6"/>
    <mergeCell ref="E130:E136"/>
    <mergeCell ref="F130:F136"/>
    <mergeCell ref="D143:D145"/>
    <mergeCell ref="E143:E145"/>
    <mergeCell ref="F143:F145"/>
    <mergeCell ref="D146:D148"/>
    <mergeCell ref="E146:E148"/>
    <mergeCell ref="F146:F148"/>
    <mergeCell ref="D137:D139"/>
    <mergeCell ref="E137:E139"/>
    <mergeCell ref="F137:F139"/>
    <mergeCell ref="D140:D142"/>
    <mergeCell ref="E140:E142"/>
    <mergeCell ref="F140:F142"/>
    <mergeCell ref="G149:G150"/>
    <mergeCell ref="G152:G153"/>
    <mergeCell ref="G156:G157"/>
    <mergeCell ref="G159:G160"/>
    <mergeCell ref="D168:D170"/>
    <mergeCell ref="E168:E170"/>
    <mergeCell ref="F168:F170"/>
    <mergeCell ref="D171:D173"/>
    <mergeCell ref="E171:E173"/>
    <mergeCell ref="F171:F173"/>
    <mergeCell ref="D162:D164"/>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4"/>
    <mergeCell ref="F162:F164"/>
    <mergeCell ref="D165:D167"/>
    <mergeCell ref="E165:E167"/>
    <mergeCell ref="F165:F167"/>
    <mergeCell ref="D174:D176"/>
    <mergeCell ref="E174:E176"/>
    <mergeCell ref="F174:F176"/>
    <mergeCell ref="D177:D179"/>
    <mergeCell ref="E177:E179"/>
    <mergeCell ref="F177:F179"/>
    <mergeCell ref="D202:D204"/>
    <mergeCell ref="E202:E204"/>
    <mergeCell ref="F202:F204"/>
    <mergeCell ref="D189:D191"/>
    <mergeCell ref="E189:E191"/>
    <mergeCell ref="F189:F191"/>
    <mergeCell ref="D192:D194"/>
    <mergeCell ref="E192:E194"/>
    <mergeCell ref="F192:F194"/>
    <mergeCell ref="D183:D185"/>
    <mergeCell ref="E183:E185"/>
    <mergeCell ref="F183:F185"/>
    <mergeCell ref="D186:D188"/>
    <mergeCell ref="E186:E188"/>
    <mergeCell ref="F186:F188"/>
    <mergeCell ref="G186:G187"/>
    <mergeCell ref="D195:D201"/>
    <mergeCell ref="E195:E201"/>
    <mergeCell ref="F195:F201"/>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51:D253"/>
    <mergeCell ref="E251:E253"/>
    <mergeCell ref="F251:F253"/>
    <mergeCell ref="G245:G246"/>
    <mergeCell ref="D257:D259"/>
    <mergeCell ref="E257:E259"/>
    <mergeCell ref="F257:F259"/>
    <mergeCell ref="D254:D256"/>
    <mergeCell ref="E254:E256"/>
    <mergeCell ref="F254:F256"/>
    <mergeCell ref="D242:D244"/>
    <mergeCell ref="E242:E244"/>
    <mergeCell ref="F242:F244"/>
    <mergeCell ref="D248:D250"/>
    <mergeCell ref="E248:E250"/>
    <mergeCell ref="F248:F250"/>
    <mergeCell ref="D245:D247"/>
    <mergeCell ref="E245:E247"/>
    <mergeCell ref="F245:F247"/>
    <mergeCell ref="D260:D266"/>
    <mergeCell ref="E260:E266"/>
    <mergeCell ref="F260:F266"/>
    <mergeCell ref="G257:G258"/>
    <mergeCell ref="G260:G261"/>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F279:F281"/>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5:D331"/>
    <mergeCell ref="E325:E331"/>
    <mergeCell ref="F325:F331"/>
    <mergeCell ref="D332:D334"/>
    <mergeCell ref="E332:E334"/>
    <mergeCell ref="F332:F334"/>
    <mergeCell ref="D319:D321"/>
    <mergeCell ref="E319:E321"/>
    <mergeCell ref="G347:G348"/>
    <mergeCell ref="G289:G290"/>
    <mergeCell ref="G60:G61"/>
    <mergeCell ref="G63:G64"/>
    <mergeCell ref="G70:G71"/>
    <mergeCell ref="G73:G74"/>
    <mergeCell ref="G76:G77"/>
    <mergeCell ref="G79:G80"/>
    <mergeCell ref="G82:G83"/>
    <mergeCell ref="G85:G86"/>
    <mergeCell ref="G91:G92"/>
    <mergeCell ref="G335:G336"/>
    <mergeCell ref="G338:G339"/>
    <mergeCell ref="G341:G342"/>
    <mergeCell ref="G344:G345"/>
    <mergeCell ref="G322:G323"/>
    <mergeCell ref="G325:G326"/>
    <mergeCell ref="G332:G333"/>
    <mergeCell ref="G316:G317"/>
    <mergeCell ref="G273:G274"/>
    <mergeCell ref="G276:G277"/>
    <mergeCell ref="G279:G280"/>
    <mergeCell ref="G282:G283"/>
    <mergeCell ref="G286:G287"/>
    <mergeCell ref="G292:G293"/>
    <mergeCell ref="G295:G296"/>
    <mergeCell ref="G298:G299"/>
    <mergeCell ref="G301:G302"/>
    <mergeCell ref="G304:G305"/>
    <mergeCell ref="G307:G308"/>
    <mergeCell ref="G313:G314"/>
    <mergeCell ref="G310:G311"/>
    <mergeCell ref="G109:G110"/>
    <mergeCell ref="G112:G113"/>
    <mergeCell ref="G118:G119"/>
    <mergeCell ref="G121:G122"/>
    <mergeCell ref="G242:G243"/>
    <mergeCell ref="G248:G249"/>
    <mergeCell ref="G251:G252"/>
    <mergeCell ref="G254:G255"/>
    <mergeCell ref="G211:G212"/>
    <mergeCell ref="G217:G218"/>
    <mergeCell ref="G221:G222"/>
    <mergeCell ref="G224:G225"/>
    <mergeCell ref="G227:G228"/>
    <mergeCell ref="G174:G175"/>
    <mergeCell ref="G177:G178"/>
    <mergeCell ref="G183:G184"/>
    <mergeCell ref="G230:G231"/>
    <mergeCell ref="G233:G234"/>
    <mergeCell ref="G236:G237"/>
    <mergeCell ref="G189:G190"/>
    <mergeCell ref="G192:G193"/>
    <mergeCell ref="G195:G196"/>
    <mergeCell ref="G202:G203"/>
    <mergeCell ref="G171:G172"/>
    <mergeCell ref="G65:G66"/>
    <mergeCell ref="G132:G133"/>
    <mergeCell ref="G197:G198"/>
    <mergeCell ref="G262:G263"/>
    <mergeCell ref="G327:G328"/>
    <mergeCell ref="G67:G68"/>
    <mergeCell ref="G134:G135"/>
    <mergeCell ref="G199:G200"/>
    <mergeCell ref="G264:G265"/>
    <mergeCell ref="G329:G33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70:J70 I73:J73 I76:J76 I79:J79 I82:J82 I221:J221 I224:J224 I227:J227 I230:J230 I233:J233 I236:J236 I239:J239 I242:J242 I248:J248 I251:J251 I254:J254 I257:J257 I260:J260 I267:J267 I270:J270 I273:J273 I276:J276 I8:J8 I85:J85 I152:J152 I94:J94 I97:J97 I100:J100 I103:J103 I106:J106 I109:J109 I112:J112 I118:J118 I121:J121 I124:J124 I127:J127 I130:J130 I137:J137 I140:J140 I143:J143 I146:J146 I149:J149 I156:J156 I91:J91 I159:J159 I162:J162 I165:J165 I168:J168 I171:J171 I174:J174 I177:J177 I183:J183 I186:J186 I189:J189 I192:J192 I195:J195 I205:J205 I208:J208 I211:J211 I214:J214 I217:J217 I202:J202 I279:J279 I282:J282 I286:J286 I289:J289 I292:J292 I295:J295 I298:J298 I301:J301 I304:J304 I307:J307 I313:J313 I316:J316 I319:J319 I322:J322 I325:J325 I332:J332 I335:J335 I338:J338 I341:J341 I344:J344 I347:J347 I2:J2 I5:J5 I48:J48 I115:J115 I180:J180 I245:J245 I310:J310 I65 J65 I132 J132 I197 J197 I262 J262 I327 J327 I67 J67 I134 J134 I199 J199 I264 J264 I329 J329"/>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decimal" allowBlank="1" showErrorMessage="1" errorTitle="Ошибка" error="Допускается ввод только действительных чисел!" sqref="K221 K224 K227 K230 K233 K236 K239 K242 K248 K251 K254 K257 K260 K267 K270 K273 K276 K279 K10 K91 K149 K146 K143 K140 K137 K130 K127 K124 K121 K118 K112 K109 K106 K103 K100 K97 K94 K156 K152 K159 K162 K165 K168 K171 K174 K177 K183 K186 K189 K192 K195 K205 K208 K211 K214 K217 K202 K282 K286 K289 K292 K295 K298 K301 K304 K307 K313 K316 K319 K322 K325 K332 K335 K338 K341 K344 K347 K5 K115 K180 K245 K310 K132 K197 K262 K327 K134 K199 K264 K329">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867C98-13FB-1ED1-153F-B85AC9D1472D}"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5" style="1641" width="53.00390625" customWidth="1"/>
    <col min="6" max="7" style="1641" width="35.00390625" customWidth="1"/>
    <col min="8" max="8" style="1641" width="89.00390625" customWidth="1"/>
    <col min="9" max="9" style="1641" width="10.00390625" customWidth="1"/>
    <col min="10" max="11" style="1630" width="10.00390625" customWidth="1"/>
    <col min="12" max="17" style="1641" width="10.00390625" customWidth="1"/>
    <col min="18" max="18" style="1641" width="10.57421875" hidden="1"/>
  </cols>
  <sheetData>
    <row customHeight="1" ht="22.5" hidden="1">
      <c r="N1" s="261"/>
      <c r="O1" s="261"/>
      <c r="Q1" s="261"/>
      <c r="R1" s="380" t="s">
        <v>14</v>
      </c>
    </row>
    <row s="1641" customFormat="1" customHeight="1" ht="18.75" hidden="1">
      <c r="A2" s="108"/>
      <c r="B2" s="1166"/>
      <c r="C2" s="1736" t="s">
        <v>253</v>
      </c>
      <c r="D2" s="1679"/>
      <c r="E2" s="1688"/>
      <c r="F2" s="263"/>
      <c r="G2" s="1167"/>
      <c r="H2" s="380"/>
      <c r="I2" s="1630"/>
      <c r="J2" s="1630"/>
      <c r="R2" s="1637">
        <v>0</v>
      </c>
    </row>
    <row customHeight="1" ht="14.25" hidden="1">
      <c r="R3" s="380">
        <v>0</v>
      </c>
    </row>
    <row customHeight="1" ht="6.3">
      <c r="C4" s="382"/>
      <c r="D4" s="369"/>
      <c r="E4" s="369"/>
      <c r="F4" s="369"/>
      <c r="G4" s="91"/>
      <c r="H4" s="91"/>
      <c r="R4" s="380">
        <v>6</v>
      </c>
    </row>
    <row customHeight="1" ht="34.5">
      <c r="C5" s="382"/>
      <c r="D5" s="246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61"/>
      <c r="F5" s="2461"/>
      <c r="G5" s="2462"/>
      <c r="H5" s="272"/>
      <c r="R5" s="380">
        <v>33</v>
      </c>
    </row>
    <row s="1641" customFormat="1" customHeight="1" ht="18">
      <c r="A6" s="1675"/>
      <c r="B6" s="1166"/>
      <c r="C6" s="382"/>
      <c r="D6" s="2463" t="str">
        <f>IF(org=0,"Не определено",org)</f>
        <v>АО «ДГК» СП «Нерюнгринская ГРЭС»</v>
      </c>
      <c r="E6" s="2464"/>
      <c r="F6" s="2464"/>
      <c r="G6" s="2465"/>
      <c r="H6" s="272"/>
      <c r="J6" s="1630"/>
      <c r="K6" s="1630"/>
      <c r="R6" s="1637">
        <v>17</v>
      </c>
    </row>
    <row customHeight="1" ht="14.699999999999998">
      <c r="C7" s="382"/>
      <c r="D7" s="369"/>
      <c r="E7" s="395"/>
      <c r="F7" s="395"/>
      <c r="G7" s="758"/>
      <c r="H7" s="199"/>
      <c r="R7" s="380">
        <v>14</v>
      </c>
    </row>
    <row customHeight="1" ht="14.699999999999998">
      <c r="C8" s="382"/>
      <c r="D8" s="2215" t="s">
        <v>316</v>
      </c>
      <c r="E8" s="2215"/>
      <c r="F8" s="2215"/>
      <c r="G8" s="2215"/>
      <c r="H8" s="2395" t="s">
        <v>317</v>
      </c>
      <c r="R8" s="380">
        <v>14</v>
      </c>
    </row>
    <row customHeight="1" ht="24">
      <c r="C9" s="382"/>
      <c r="D9" s="392" t="s">
        <v>89</v>
      </c>
      <c r="E9" s="114" t="s">
        <v>318</v>
      </c>
      <c r="F9" s="114" t="s">
        <v>319</v>
      </c>
      <c r="G9" s="114" t="s">
        <v>406</v>
      </c>
      <c r="H9" s="2395"/>
      <c r="R9" s="380">
        <v>23</v>
      </c>
    </row>
    <row customHeight="1" ht="14.699999999999998">
      <c r="A10" s="349"/>
      <c r="C10" s="382"/>
      <c r="D10" s="153" t="s">
        <v>111</v>
      </c>
      <c r="E10" s="189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3"/>
      <c r="G10" s="219"/>
      <c r="H10" s="2175" t="s">
        <v>1200</v>
      </c>
      <c r="R10" s="380">
        <v>14</v>
      </c>
    </row>
    <row customHeight="1" ht="14.699999999999998">
      <c r="A11" s="349"/>
      <c r="C11" s="382"/>
      <c r="D11" s="153" t="s">
        <v>112</v>
      </c>
      <c r="E11" s="189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3"/>
      <c r="G11" s="219"/>
      <c r="H11" s="2176"/>
      <c r="R11" s="380">
        <v>14</v>
      </c>
    </row>
    <row customHeight="1" ht="14.699999999999998">
      <c r="A12" s="108"/>
      <c r="C12" s="393"/>
      <c r="D12" s="153" t="s">
        <v>91</v>
      </c>
      <c r="E12" s="394" t="str">
        <f>"Сведения о планировании закупочных процедур"&amp;IF(TEMPLATE_SPHERE="TKO"," &lt;1&gt;","")</f>
        <v>Сведения о планировании закупочных процедур</v>
      </c>
      <c r="F12" s="263"/>
      <c r="G12" s="219"/>
      <c r="H12" s="217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6"/>
      <c r="K12" s="380"/>
      <c r="R12" s="380">
        <v>14</v>
      </c>
    </row>
    <row customHeight="1" ht="14.699999999999998">
      <c r="A13" s="108"/>
      <c r="C13" s="393"/>
      <c r="D13" s="153" t="s">
        <v>92</v>
      </c>
      <c r="E13" s="394" t="str">
        <f>"Сведения о результатах проведения закупочных процедур"&amp;IF(TEMPLATE_SPHERE="TKO"," &lt;1&gt;","")</f>
        <v>Сведения о результатах проведения закупочных процедур</v>
      </c>
      <c r="F13" s="263"/>
      <c r="G13" s="219"/>
      <c r="H13" s="2176"/>
      <c r="I13" s="356"/>
      <c r="K13" s="380"/>
      <c r="R13" s="380">
        <v>14</v>
      </c>
    </row>
    <row customHeight="1" ht="14.699999999999998">
      <c r="A14" s="349"/>
      <c r="C14" s="382"/>
      <c r="D14" s="353"/>
      <c r="E14" s="401" t="s">
        <v>338</v>
      </c>
      <c r="F14" s="355"/>
      <c r="G14" s="207"/>
      <c r="H14" s="2177"/>
      <c r="R14" s="380">
        <v>14</v>
      </c>
    </row>
    <row s="1641" customFormat="1" customHeight="1" ht="14.699999999999998">
      <c r="A15" s="349"/>
      <c r="B15" s="1166"/>
      <c r="C15" s="382"/>
      <c r="D15" s="402"/>
      <c r="E15" s="1683"/>
      <c r="F15" s="1684"/>
      <c r="G15" s="1685"/>
      <c r="H15" s="1686"/>
      <c r="J15" s="1630"/>
      <c r="K15" s="1630"/>
      <c r="R15" s="1637">
        <v>14</v>
      </c>
    </row>
    <row customHeight="1" ht="14.699999999999998">
      <c r="D16" s="1687"/>
      <c r="E16" s="2391"/>
      <c r="F16" s="2391"/>
      <c r="G16" s="2391"/>
      <c r="H16" s="2391"/>
      <c r="R16" s="380">
        <v>14</v>
      </c>
    </row>
    <row customHeight="1" ht="22.5" hidden="1">
      <c r="A17" s="370" t="s">
        <v>83</v>
      </c>
      <c r="B17" s="152">
        <v>0</v>
      </c>
      <c r="C17" s="350">
        <v>3</v>
      </c>
      <c r="D17" s="380">
        <v>6</v>
      </c>
      <c r="E17" s="380">
        <v>53</v>
      </c>
      <c r="F17" s="380">
        <v>35</v>
      </c>
      <c r="G17" s="380">
        <v>35</v>
      </c>
      <c r="H17" s="380">
        <v>89</v>
      </c>
      <c r="I17" s="380">
        <v>10</v>
      </c>
      <c r="J17" s="356">
        <v>10</v>
      </c>
      <c r="K17" s="356">
        <v>10</v>
      </c>
      <c r="L17" s="380">
        <v>10</v>
      </c>
      <c r="M17" s="380">
        <v>10</v>
      </c>
      <c r="N17" s="380">
        <v>10</v>
      </c>
      <c r="O17" s="380">
        <v>10</v>
      </c>
      <c r="P17" s="380">
        <v>10</v>
      </c>
      <c r="Q17" s="380">
        <v>10</v>
      </c>
      <c r="R17" s="380">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78EF3B-95AE-9336-B3A5-3286DDF98D82}" mc:Ignorable="x14ac xr xr2 xr3">
  <sheetPr>
    <tabColor rgb="FFCCCCFF"/>
  </sheetPr>
  <dimension ref="A1:AR154"/>
  <sheetViews>
    <sheetView showGridLines="0" zoomScale="90" workbookViewId="0">
      <pane xSplit="6" ySplit="12" topLeftCell="G85" activePane="bottomRight" state="frozen"/>
      <selection pane="bottomLeft" activeCell="A13" sqref="A13"/>
      <selection pane="topRight" activeCell="G1" sqref="G1"/>
      <selection pane="bottomRight" activeCell="J103" sqref="J103:J106"/>
    </sheetView>
  </sheetViews>
  <sheetFormatPr defaultColWidth="9.140625" customHeight="1" defaultRowHeight="11.25"/>
  <cols>
    <col min="1" max="2" style="1630" width="3.7109375" hidden="1" customWidth="1"/>
    <col min="3" max="3" style="1859" width="3.00390625" customWidth="1"/>
    <col min="4" max="4" style="1859" width="6.00390625" customWidth="1"/>
    <col min="5" max="5" style="1859" width="42.00390625" customWidth="1"/>
    <col min="6" max="6" style="1859" width="15.00390625" customWidth="1"/>
    <col min="7" max="7" style="1859" width="42.00390625" customWidth="1"/>
    <col min="8" max="8" style="1859" width="3.00390625" customWidth="1"/>
    <col min="9" max="9" style="1859" width="5.00390625" customWidth="1"/>
    <col min="10" max="10" style="1859" width="47.00390625" customWidth="1"/>
    <col min="11" max="12" style="1859" width="3.00390625" customWidth="1"/>
    <col min="13" max="13" style="1859" width="5.00390625" customWidth="1"/>
    <col min="14" max="14" style="1859" width="28.00390625" customWidth="1"/>
    <col min="15" max="16" style="1859" width="3.00390625" customWidth="1"/>
    <col min="17" max="17" style="1859" width="5.00390625" customWidth="1"/>
    <col min="18" max="18" style="1859" width="34.00390625" customWidth="1"/>
    <col min="19" max="20" style="1859" width="3.7109375" hidden="1" customWidth="1"/>
    <col min="21" max="21" style="1859" width="5.7109375" hidden="1" customWidth="1"/>
    <col min="22" max="22" style="1859" width="34.421875" hidden="1" customWidth="1"/>
    <col min="23" max="23" style="1859" width="30.00390625" customWidth="1"/>
    <col min="24" max="24" style="1859" width="3.00390625" customWidth="1"/>
    <col min="25" max="28" style="1272" width="9.8515625" hidden="1" customWidth="1"/>
    <col min="29" max="29" style="1272" width="27.00390625" hidden="1" customWidth="1"/>
    <col min="30" max="30" style="1272" width="10.57421875" hidden="1" customWidth="1"/>
    <col min="31" max="31" style="1272" width="10.7109375" hidden="1" customWidth="1"/>
    <col min="32" max="32" style="1272" width="10.00390625" hidden="1" customWidth="1"/>
    <col min="33" max="33" style="1272" width="12.8515625" hidden="1" customWidth="1"/>
    <col min="34" max="34" style="1272" width="24.421875" hidden="1" customWidth="1"/>
    <col min="35" max="35" style="1272" width="15.8515625" hidden="1" customWidth="1"/>
    <col min="36" max="36" style="1272" width="19.421875" hidden="1" customWidth="1"/>
    <col min="37" max="37" style="1272" width="11.00390625" hidden="1" customWidth="1"/>
    <col min="38" max="38" style="1272" width="23.57421875" hidden="1" customWidth="1"/>
    <col min="39" max="39" style="1272" width="23.8515625" hidden="1" customWidth="1"/>
    <col min="40" max="40" style="1272" width="25.28125" hidden="1" customWidth="1"/>
    <col min="41" max="41" style="1272" width="16.8515625" hidden="1" customWidth="1"/>
    <col min="42" max="42" style="1272" width="29.57421875" hidden="1" customWidth="1"/>
    <col min="43" max="43" style="1272" width="29.8515625" hidden="1" customWidth="1"/>
    <col min="44" max="44" style="1859" width="9.140625" hidden="1"/>
  </cols>
  <sheetData>
    <row customHeight="1" ht="11.25" hidden="1">
      <c r="A1" s="162"/>
      <c r="AR1" s="110" t="s">
        <v>14</v>
      </c>
    </row>
    <row customHeight="1" ht="11.25" hidden="1">
      <c r="AR2" s="110">
        <v>0</v>
      </c>
    </row>
    <row customHeight="1" ht="11.25" hidden="1">
      <c r="AR3" s="110">
        <v>0</v>
      </c>
    </row>
    <row customHeight="1" ht="3">
      <c r="AR4" s="110">
        <v>3</v>
      </c>
    </row>
    <row s="595" customFormat="1" customHeight="1" ht="30.45">
      <c r="A5" s="160"/>
      <c r="B5" s="160"/>
      <c r="D5" s="21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4"/>
      <c r="F5" s="2164"/>
      <c r="G5" s="2164"/>
      <c r="H5" s="2164"/>
      <c r="I5" s="2164"/>
      <c r="J5" s="2165"/>
      <c r="K5" s="271"/>
      <c r="L5" s="148"/>
      <c r="M5" s="148"/>
      <c r="N5" s="148"/>
      <c r="O5" s="148"/>
      <c r="P5" s="148"/>
      <c r="Q5" s="148"/>
      <c r="R5" s="148"/>
      <c r="S5" s="296"/>
      <c r="T5" s="296"/>
      <c r="U5" s="296"/>
      <c r="V5" s="296"/>
      <c r="W5" s="148"/>
      <c r="Y5" s="1266"/>
      <c r="Z5" s="1266"/>
      <c r="AA5" s="1266"/>
      <c r="AB5" s="1266"/>
      <c r="AC5" s="1266"/>
      <c r="AD5" s="1266"/>
      <c r="AE5" s="1266"/>
      <c r="AF5" s="1266"/>
      <c r="AG5" s="1266"/>
      <c r="AH5" s="1266"/>
      <c r="AI5" s="1266"/>
      <c r="AJ5" s="1266"/>
      <c r="AK5" s="1266"/>
      <c r="AL5" s="1266"/>
      <c r="AM5" s="1266"/>
      <c r="AN5" s="1266"/>
      <c r="AO5" s="1266"/>
      <c r="AP5" s="1266"/>
      <c r="AQ5" s="1266"/>
      <c r="AR5" s="117">
        <v>29</v>
      </c>
    </row>
    <row s="595" customFormat="1" customHeight="1" ht="14.699999999999998">
      <c r="A6" s="591"/>
      <c r="B6" s="591"/>
      <c r="C6" s="591"/>
      <c r="D6" s="2169" t="str">
        <f>IF(org=0,"Не определено",org)</f>
        <v>АО «ДГК» СП «Нерюнгринская ГРЭС»</v>
      </c>
      <c r="E6" s="2169"/>
      <c r="F6" s="2169"/>
      <c r="G6" s="2169"/>
      <c r="H6" s="2169"/>
      <c r="I6" s="2169"/>
      <c r="J6" s="2169"/>
      <c r="K6" s="592"/>
      <c r="L6" s="592"/>
      <c r="M6" s="592"/>
      <c r="N6" s="592"/>
      <c r="O6" s="876"/>
      <c r="P6" s="876"/>
      <c r="Q6" s="876"/>
      <c r="R6" s="876"/>
      <c r="S6" s="876"/>
      <c r="T6" s="876"/>
      <c r="U6" s="876"/>
      <c r="V6" s="876"/>
      <c r="W6" s="876"/>
      <c r="X6" s="592"/>
      <c r="Y6" s="1267"/>
      <c r="Z6" s="1267"/>
      <c r="AA6" s="1267"/>
      <c r="AB6" s="1267"/>
      <c r="AC6" s="1267"/>
      <c r="AD6" s="1267"/>
      <c r="AE6" s="1267"/>
      <c r="AF6" s="1267"/>
      <c r="AG6" s="1267"/>
      <c r="AH6" s="1267"/>
      <c r="AI6" s="1267"/>
      <c r="AJ6" s="1267"/>
      <c r="AK6" s="1267"/>
      <c r="AL6" s="1267"/>
      <c r="AM6" s="1267"/>
      <c r="AN6" s="1267"/>
      <c r="AO6" s="1267"/>
      <c r="AP6" s="1267"/>
      <c r="AQ6" s="1267"/>
      <c r="AR6" s="593">
        <v>14</v>
      </c>
    </row>
    <row s="305" customFormat="1" customHeight="1" ht="11.549999999999999">
      <c r="A7" s="217"/>
      <c r="B7" s="217"/>
      <c r="D7" s="2166"/>
      <c r="E7" s="2167"/>
      <c r="F7" s="2167"/>
      <c r="G7" s="2167"/>
      <c r="H7" s="2167"/>
      <c r="I7" s="2167"/>
      <c r="J7" s="2168"/>
      <c r="S7" s="305"/>
      <c r="T7" s="305"/>
      <c r="U7" s="305"/>
      <c r="V7" s="305"/>
      <c r="Y7" s="1268"/>
      <c r="Z7" s="1268"/>
      <c r="AA7" s="1268"/>
      <c r="AB7" s="1268"/>
      <c r="AC7" s="1268"/>
      <c r="AD7" s="1268"/>
      <c r="AE7" s="1268"/>
      <c r="AF7" s="1268"/>
      <c r="AG7" s="1268"/>
      <c r="AH7" s="1268"/>
      <c r="AI7" s="1268"/>
      <c r="AJ7" s="1268"/>
      <c r="AK7" s="1268"/>
      <c r="AL7" s="1268"/>
      <c r="AM7" s="1268"/>
      <c r="AN7" s="1268"/>
      <c r="AO7" s="1268"/>
      <c r="AP7" s="1268"/>
      <c r="AQ7" s="1268"/>
      <c r="AR7" s="282">
        <v>11</v>
      </c>
    </row>
    <row s="595" customFormat="1" customHeight="1" ht="1.05">
      <c r="A8" s="160"/>
      <c r="B8" s="160"/>
      <c r="D8" s="218"/>
      <c r="E8" s="218"/>
      <c r="F8" s="218"/>
      <c r="G8" s="218"/>
      <c r="H8" s="218"/>
      <c r="I8" s="218"/>
      <c r="J8" s="218"/>
      <c r="K8" s="218"/>
      <c r="L8" s="218"/>
      <c r="M8" s="218"/>
      <c r="N8" s="218"/>
      <c r="O8" s="218"/>
      <c r="P8" s="218"/>
      <c r="Q8" s="218"/>
      <c r="R8" s="218"/>
      <c r="S8" s="218"/>
      <c r="T8" s="218"/>
      <c r="U8" s="218"/>
      <c r="V8" s="218"/>
      <c r="W8" s="218"/>
      <c r="X8" s="138"/>
      <c r="Y8" s="1266"/>
      <c r="Z8" s="1266"/>
      <c r="AA8" s="1266"/>
      <c r="AB8" s="1266"/>
      <c r="AC8" s="1266"/>
      <c r="AD8" s="1266"/>
      <c r="AE8" s="1266"/>
      <c r="AF8" s="1266"/>
      <c r="AG8" s="1266"/>
      <c r="AH8" s="1266"/>
      <c r="AI8" s="1266"/>
      <c r="AJ8" s="1266"/>
      <c r="AK8" s="1266"/>
      <c r="AL8" s="1266"/>
      <c r="AM8" s="1266"/>
      <c r="AN8" s="1266"/>
      <c r="AO8" s="1266"/>
      <c r="AP8" s="1266"/>
      <c r="AQ8" s="1266"/>
      <c r="AR8" s="117">
        <v>1</v>
      </c>
    </row>
    <row customHeight="1" ht="28.5">
      <c r="D9" s="2133" t="s">
        <v>89</v>
      </c>
      <c r="E9" s="2107" t="s">
        <v>124</v>
      </c>
      <c r="F9" s="2109"/>
      <c r="G9" s="2133" t="s">
        <v>107</v>
      </c>
      <c r="H9" s="2133" t="s">
        <v>89</v>
      </c>
      <c r="I9" s="2133"/>
      <c r="J9" s="2133" t="s">
        <v>125</v>
      </c>
      <c r="K9" s="2161" t="s">
        <v>126</v>
      </c>
      <c r="L9" s="2161"/>
      <c r="M9" s="2161"/>
      <c r="N9" s="2161"/>
      <c r="O9" s="2161" t="s">
        <v>127</v>
      </c>
      <c r="P9" s="2161"/>
      <c r="Q9" s="2161"/>
      <c r="R9" s="2161"/>
      <c r="S9" s="2161" t="s">
        <v>128</v>
      </c>
      <c r="T9" s="2161"/>
      <c r="U9" s="2161"/>
      <c r="V9" s="2161"/>
      <c r="W9" s="2133" t="s">
        <v>129</v>
      </c>
      <c r="AR9" s="110">
        <v>27</v>
      </c>
    </row>
    <row customHeight="1" ht="31.5">
      <c r="D10" s="2133"/>
      <c r="E10" s="1290" t="s">
        <v>90</v>
      </c>
      <c r="F10" s="1290" t="s">
        <v>130</v>
      </c>
      <c r="G10" s="2133"/>
      <c r="H10" s="2133"/>
      <c r="I10" s="2133"/>
      <c r="J10" s="2133"/>
      <c r="K10" s="116" t="s">
        <v>110</v>
      </c>
      <c r="L10" s="2133" t="s">
        <v>89</v>
      </c>
      <c r="M10" s="2133"/>
      <c r="N10" s="116" t="s">
        <v>131</v>
      </c>
      <c r="O10" s="116" t="s">
        <v>110</v>
      </c>
      <c r="P10" s="2133" t="s">
        <v>89</v>
      </c>
      <c r="Q10" s="2133"/>
      <c r="R10" s="116" t="s">
        <v>131</v>
      </c>
      <c r="S10" s="289" t="s">
        <v>110</v>
      </c>
      <c r="T10" s="2133" t="s">
        <v>89</v>
      </c>
      <c r="U10" s="2133"/>
      <c r="V10" s="289" t="s">
        <v>90</v>
      </c>
      <c r="W10" s="2133"/>
      <c r="Z10" s="1265" t="s">
        <v>132</v>
      </c>
      <c r="AA10" s="1265" t="s">
        <v>133</v>
      </c>
      <c r="AB10" s="1265" t="s">
        <v>134</v>
      </c>
      <c r="AC10" s="1265" t="s">
        <v>135</v>
      </c>
      <c r="AD10" s="1265" t="s">
        <v>136</v>
      </c>
      <c r="AE10" s="1265" t="s">
        <v>137</v>
      </c>
      <c r="AF10" s="1265" t="s">
        <v>138</v>
      </c>
      <c r="AG10" s="1265" t="s">
        <v>139</v>
      </c>
      <c r="AH10" s="1265" t="s">
        <v>140</v>
      </c>
      <c r="AI10" s="1265" t="s">
        <v>141</v>
      </c>
      <c r="AJ10" s="1265" t="s">
        <v>142</v>
      </c>
      <c r="AK10" s="1265" t="s">
        <v>143</v>
      </c>
      <c r="AL10" s="1265" t="s">
        <v>144</v>
      </c>
      <c r="AM10" s="1265" t="s">
        <v>145</v>
      </c>
      <c r="AN10" s="1265" t="s">
        <v>146</v>
      </c>
      <c r="AO10" s="1265" t="s">
        <v>147</v>
      </c>
      <c r="AP10" s="1265" t="s">
        <v>148</v>
      </c>
      <c r="AQ10" s="1265" t="s">
        <v>149</v>
      </c>
      <c r="AR10" s="110">
        <v>30</v>
      </c>
    </row>
    <row s="1630" customFormat="1" customHeight="1" ht="12" hidden="1">
      <c r="D11" s="1255" t="s">
        <v>111</v>
      </c>
      <c r="E11" s="1255" t="s">
        <v>112</v>
      </c>
      <c r="F11" s="1255"/>
      <c r="G11" s="1255" t="s">
        <v>91</v>
      </c>
      <c r="H11" s="2162" t="s">
        <v>113</v>
      </c>
      <c r="I11" s="2162"/>
      <c r="J11" s="1255" t="s">
        <v>93</v>
      </c>
      <c r="K11" s="1255" t="s">
        <v>94</v>
      </c>
      <c r="L11" s="2162" t="s">
        <v>114</v>
      </c>
      <c r="M11" s="2162"/>
      <c r="N11" s="1255" t="s">
        <v>150</v>
      </c>
      <c r="O11" s="1255" t="s">
        <v>151</v>
      </c>
      <c r="P11" s="2162" t="s">
        <v>152</v>
      </c>
      <c r="Q11" s="2162"/>
      <c r="R11" s="1255" t="s">
        <v>153</v>
      </c>
      <c r="S11" s="1255" t="s">
        <v>152</v>
      </c>
      <c r="T11" s="2162" t="s">
        <v>153</v>
      </c>
      <c r="U11" s="2162"/>
      <c r="V11" s="1255" t="s">
        <v>154</v>
      </c>
      <c r="W11" s="1255" t="s">
        <v>155</v>
      </c>
      <c r="Y11" s="1265"/>
      <c r="Z11" s="1265"/>
      <c r="AA11" s="1265"/>
      <c r="AB11" s="1265"/>
      <c r="AC11" s="1265"/>
      <c r="AD11" s="1265"/>
      <c r="AE11" s="1265"/>
      <c r="AF11" s="1265"/>
      <c r="AG11" s="1265"/>
      <c r="AH11" s="1265"/>
      <c r="AI11" s="1265"/>
      <c r="AJ11" s="1265"/>
      <c r="AK11" s="1265"/>
      <c r="AL11" s="1265"/>
      <c r="AM11" s="1265"/>
      <c r="AN11" s="1265"/>
      <c r="AO11" s="1265"/>
      <c r="AP11" s="1265"/>
      <c r="AQ11" s="1265"/>
      <c r="AR11" s="283">
        <v>0</v>
      </c>
    </row>
    <row customHeight="1" ht="14.25" hidden="1">
      <c r="C12" s="215"/>
      <c r="D12" s="1288">
        <v>0</v>
      </c>
      <c r="E12" s="256"/>
      <c r="F12" s="256"/>
      <c r="G12" s="256"/>
      <c r="H12" s="257"/>
      <c r="I12" s="257"/>
      <c r="J12" s="164"/>
      <c r="K12" s="118"/>
      <c r="L12" s="164"/>
      <c r="M12" s="164"/>
      <c r="N12" s="258"/>
      <c r="O12" s="118"/>
      <c r="P12" s="164"/>
      <c r="Q12" s="164"/>
      <c r="R12" s="259"/>
      <c r="S12" s="290"/>
      <c r="T12" s="298"/>
      <c r="U12" s="298"/>
      <c r="V12" s="302"/>
      <c r="W12" s="118"/>
      <c r="X12" s="147"/>
      <c r="AR12" s="110">
        <v>0</v>
      </c>
    </row>
    <row s="1859" customFormat="1" customHeight="1" ht="17.25" hidden="1">
      <c r="A13" s="327"/>
      <c r="C13" s="215"/>
      <c r="D13" s="2141">
        <v>1</v>
      </c>
      <c r="E13" s="2149" t="s">
        <v>156</v>
      </c>
      <c r="F13" s="2151" t="s">
        <v>19</v>
      </c>
      <c r="G13" s="2149"/>
      <c r="H13" s="2154"/>
      <c r="I13" s="2156"/>
      <c r="J13" s="2158"/>
      <c r="K13" s="2143"/>
      <c r="L13" s="2143"/>
      <c r="M13" s="2143"/>
      <c r="N13" s="2145"/>
      <c r="O13" s="2143"/>
      <c r="P13" s="2143"/>
      <c r="Q13" s="2143"/>
      <c r="R13" s="2148"/>
      <c r="S13" s="2143"/>
      <c r="T13" s="1426"/>
      <c r="U13" s="1426"/>
      <c r="V13" s="1425"/>
      <c r="W13" s="1302"/>
      <c r="Y13" s="1273"/>
      <c r="Z13" s="1273"/>
      <c r="AA13" s="1273"/>
      <c r="AB13" s="1273"/>
      <c r="AC13" s="1273" t="s">
        <v>157</v>
      </c>
      <c r="AD13" s="1273" t="s">
        <v>158</v>
      </c>
      <c r="AE13" s="1273" t="s">
        <v>159</v>
      </c>
      <c r="AF13" s="1273" t="s">
        <v>160</v>
      </c>
      <c r="AG13" s="1273" t="s">
        <v>161</v>
      </c>
      <c r="AH13" s="127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3" t="str">
        <f>IF($G$13=0,"",$G$13)</f>
        <v/>
      </c>
      <c r="AJ13" s="1273" t="str">
        <f>IF($J$13=0,"",$J$13)</f>
        <v/>
      </c>
      <c r="AK13" s="1273" t="str">
        <f>IF($K$13="нет","без дифференциации",IF($N$13=0,"",$N$13))</f>
        <v/>
      </c>
      <c r="AL13" s="1273" t="str">
        <f>IF($O$13="нет","без дифференциации",IF($R$13=0,"",$R$13))</f>
        <v/>
      </c>
      <c r="AM13" s="1273" t="str">
        <f>IF($S$13="нет","без дифференциации",IF($V$13=0,"",$V$13))</f>
        <v/>
      </c>
      <c r="AN13" s="1273">
        <f>$I$13</f>
        <v>0</v>
      </c>
      <c r="AO13" s="1273" t="str">
        <f>$I$13&amp;"."&amp;$M$13</f>
        <v>.</v>
      </c>
      <c r="AP13" s="1273" t="str">
        <f>$I$13&amp;"."&amp;$M$13&amp;"."&amp;$Q$13</f>
        <v>..</v>
      </c>
      <c r="AQ13" s="1273" t="str">
        <f>$I$13&amp;"."&amp;$M$13&amp;"."&amp;$Q$13&amp;"."&amp;$U$13</f>
        <v>...</v>
      </c>
      <c r="AR13" s="756">
        <v>0</v>
      </c>
    </row>
    <row s="1859" customFormat="1" customHeight="1" ht="17.25" hidden="1">
      <c r="A14" s="327"/>
      <c r="C14" s="326"/>
      <c r="D14" s="2141"/>
      <c r="E14" s="2149"/>
      <c r="F14" s="2152"/>
      <c r="G14" s="2149"/>
      <c r="H14" s="2155"/>
      <c r="I14" s="2157"/>
      <c r="J14" s="2159"/>
      <c r="K14" s="2144"/>
      <c r="L14" s="2144"/>
      <c r="M14" s="2144"/>
      <c r="N14" s="2146"/>
      <c r="O14" s="2144"/>
      <c r="P14" s="2144"/>
      <c r="Q14" s="2144"/>
      <c r="R14" s="2147"/>
      <c r="S14" s="2144"/>
      <c r="T14" s="1303"/>
      <c r="U14" s="1303"/>
      <c r="V14" s="1303"/>
      <c r="W14" s="1304"/>
      <c r="Y14" s="1265"/>
      <c r="Z14" s="1265"/>
      <c r="AA14" s="1265"/>
      <c r="AB14" s="1265"/>
      <c r="AC14" s="1265"/>
      <c r="AD14" s="1265"/>
      <c r="AE14" s="1265"/>
      <c r="AF14" s="1265"/>
      <c r="AG14" s="1265"/>
      <c r="AH14" s="1265"/>
      <c r="AI14" s="1265"/>
      <c r="AJ14" s="1265"/>
      <c r="AK14" s="1265"/>
      <c r="AL14" s="1265"/>
      <c r="AM14" s="1265"/>
      <c r="AN14" s="1265"/>
      <c r="AO14" s="1265"/>
      <c r="AP14" s="1265"/>
      <c r="AQ14" s="1265"/>
      <c r="AR14" s="756">
        <v>0</v>
      </c>
    </row>
    <row s="1859" customFormat="1" customHeight="1" ht="17.25" hidden="1">
      <c r="A15" s="327"/>
      <c r="C15" s="215"/>
      <c r="D15" s="2141"/>
      <c r="E15" s="2149"/>
      <c r="F15" s="2152"/>
      <c r="G15" s="2149"/>
      <c r="H15" s="2155"/>
      <c r="I15" s="2157"/>
      <c r="J15" s="2160"/>
      <c r="K15" s="2144"/>
      <c r="L15" s="2144"/>
      <c r="M15" s="2144"/>
      <c r="N15" s="2147"/>
      <c r="O15" s="2144"/>
      <c r="P15" s="1424"/>
      <c r="Q15" s="1303"/>
      <c r="R15" s="1303"/>
      <c r="S15" s="335"/>
      <c r="T15" s="335"/>
      <c r="U15" s="335"/>
      <c r="V15" s="335"/>
      <c r="W15" s="1304"/>
      <c r="Y15" s="1273"/>
      <c r="Z15" s="1273"/>
      <c r="AA15" s="1273"/>
      <c r="AB15" s="1273"/>
      <c r="AC15" s="1273"/>
      <c r="AD15" s="1273"/>
      <c r="AE15" s="1273"/>
      <c r="AF15" s="1273"/>
      <c r="AG15" s="1273"/>
      <c r="AH15" s="1273"/>
      <c r="AI15" s="1273"/>
      <c r="AJ15" s="1273"/>
      <c r="AK15" s="1273"/>
      <c r="AL15" s="1273"/>
      <c r="AM15" s="1273"/>
      <c r="AN15" s="1273"/>
      <c r="AO15" s="1273"/>
      <c r="AP15" s="1273"/>
      <c r="AQ15" s="1273"/>
      <c r="AR15" s="1423">
        <v>0</v>
      </c>
    </row>
    <row s="1859" customFormat="1" customHeight="1" ht="17.25" hidden="1">
      <c r="A16" s="327"/>
      <c r="C16" s="326"/>
      <c r="D16" s="2141"/>
      <c r="E16" s="2149"/>
      <c r="F16" s="2152"/>
      <c r="G16" s="2149"/>
      <c r="H16" s="2155"/>
      <c r="I16" s="2157"/>
      <c r="J16" s="2160"/>
      <c r="K16" s="2144"/>
      <c r="L16" s="1303"/>
      <c r="M16" s="1303"/>
      <c r="N16" s="1303"/>
      <c r="O16" s="1303"/>
      <c r="P16" s="1303"/>
      <c r="Q16" s="1303"/>
      <c r="R16" s="1303"/>
      <c r="S16" s="335"/>
      <c r="T16" s="335"/>
      <c r="U16" s="335"/>
      <c r="V16" s="335"/>
      <c r="W16" s="1304"/>
      <c r="Y16" s="1265"/>
      <c r="Z16" s="1265"/>
      <c r="AA16" s="1265"/>
      <c r="AB16" s="1265"/>
      <c r="AC16" s="1265"/>
      <c r="AD16" s="1265"/>
      <c r="AE16" s="1265"/>
      <c r="AF16" s="1265"/>
      <c r="AG16" s="1265"/>
      <c r="AH16" s="1265"/>
      <c r="AI16" s="1265"/>
      <c r="AJ16" s="1265"/>
      <c r="AK16" s="1265"/>
      <c r="AL16" s="1265"/>
      <c r="AM16" s="1265"/>
      <c r="AN16" s="1265"/>
      <c r="AO16" s="1265"/>
      <c r="AP16" s="1265"/>
      <c r="AQ16" s="1265"/>
      <c r="AR16" s="1423">
        <v>0</v>
      </c>
    </row>
    <row s="1859" customFormat="1" customHeight="1" ht="17.25" hidden="1">
      <c r="A17" s="327"/>
      <c r="C17" s="326"/>
      <c r="D17" s="2142"/>
      <c r="E17" s="2150"/>
      <c r="F17" s="2153"/>
      <c r="G17" s="2150"/>
      <c r="H17" s="1305"/>
      <c r="I17" s="1306"/>
      <c r="J17" s="1306"/>
      <c r="K17" s="1306"/>
      <c r="L17" s="1306"/>
      <c r="M17" s="1306"/>
      <c r="N17" s="1306"/>
      <c r="O17" s="1306"/>
      <c r="P17" s="1306"/>
      <c r="Q17" s="1306"/>
      <c r="R17" s="1306"/>
      <c r="S17" s="1307"/>
      <c r="T17" s="1307"/>
      <c r="U17" s="1307"/>
      <c r="V17" s="1307"/>
      <c r="W17" s="1308"/>
      <c r="Y17" s="1265"/>
      <c r="Z17" s="1265"/>
      <c r="AA17" s="1265"/>
      <c r="AB17" s="1265"/>
      <c r="AC17" s="1265"/>
      <c r="AD17" s="1265"/>
      <c r="AE17" s="1265"/>
      <c r="AF17" s="1265"/>
      <c r="AG17" s="1265"/>
      <c r="AH17" s="1265"/>
      <c r="AI17" s="1265"/>
      <c r="AJ17" s="1265"/>
      <c r="AK17" s="1265"/>
      <c r="AL17" s="1265"/>
      <c r="AM17" s="1265"/>
      <c r="AN17" s="1265"/>
      <c r="AO17" s="1265"/>
      <c r="AP17" s="1265"/>
      <c r="AQ17" s="1265"/>
      <c r="AR17" s="756">
        <v>0</v>
      </c>
    </row>
    <row s="1859" customFormat="1" customHeight="1" ht="17.25" hidden="1">
      <c r="A18" s="327"/>
      <c r="C18" s="215"/>
      <c r="D18" s="2141">
        <v>2</v>
      </c>
      <c r="E18" s="2170"/>
      <c r="F18" s="2151" t="s">
        <v>19</v>
      </c>
      <c r="G18" s="2149"/>
      <c r="H18" s="2154"/>
      <c r="I18" s="2156"/>
      <c r="J18" s="2158"/>
      <c r="K18" s="2143"/>
      <c r="L18" s="2143"/>
      <c r="M18" s="2143"/>
      <c r="N18" s="2145"/>
      <c r="O18" s="2143"/>
      <c r="P18" s="2143"/>
      <c r="Q18" s="2143"/>
      <c r="R18" s="2148"/>
      <c r="S18" s="2143"/>
      <c r="T18" s="1426"/>
      <c r="U18" s="1426"/>
      <c r="V18" s="1425"/>
      <c r="W18" s="1302"/>
      <c r="X18" s="1273"/>
      <c r="Y18" s="1273"/>
      <c r="Z18" s="1273"/>
      <c r="AA18" s="1273"/>
      <c r="AB18" s="1273"/>
      <c r="AC18" s="1273" t="s">
        <v>162</v>
      </c>
      <c r="AD18" s="1273" t="s">
        <v>163</v>
      </c>
      <c r="AE18" s="1273" t="s">
        <v>164</v>
      </c>
      <c r="AF18" s="1273" t="s">
        <v>165</v>
      </c>
      <c r="AG18" s="1273" t="s">
        <v>166</v>
      </c>
      <c r="AH18" s="1273" t="str">
        <f>IF($E$18=0,"",$E$18)</f>
        <v/>
      </c>
      <c r="AI18" s="1273" t="str">
        <f>IF($G$18=0,"",$G$18)</f>
        <v/>
      </c>
      <c r="AJ18" s="1273" t="str">
        <f>IF($J$18=0,"",$J$18)</f>
        <v/>
      </c>
      <c r="AK18" s="1273" t="str">
        <f>IF($K$18="нет","без дифференциации",IF($N$18=0,"",$N$18))</f>
        <v/>
      </c>
      <c r="AL18" s="1273" t="str">
        <f>IF($O$18="нет","без дифференциации",IF($R$18=0,"",$R$18))</f>
        <v/>
      </c>
      <c r="AM18" s="1273" t="str">
        <f>IF($S$18="нет","без дифференциации",IF($V$18=0,"",$V$18))</f>
        <v/>
      </c>
      <c r="AN18" s="1778">
        <f>$I$18</f>
        <v>0</v>
      </c>
      <c r="AO18" s="1273" t="str">
        <f>$I$18&amp;"."&amp;$M$18</f>
        <v>.</v>
      </c>
      <c r="AP18" s="1265" t="str">
        <f>$I$18&amp;"."&amp;$M$18&amp;"."&amp;$Q$18</f>
        <v>..</v>
      </c>
      <c r="AQ18" s="1265" t="str">
        <f>$I$18&amp;"."&amp;$M$18&amp;"."&amp;$Q$18&amp;"."&amp;$U$18</f>
        <v>...</v>
      </c>
      <c r="AR18" s="1289">
        <v>0</v>
      </c>
    </row>
    <row s="1859" customFormat="1" customHeight="1" ht="17.25" hidden="1">
      <c r="A19" s="327"/>
      <c r="C19" s="326"/>
      <c r="D19" s="2141"/>
      <c r="E19" s="2170"/>
      <c r="F19" s="2152"/>
      <c r="G19" s="2149"/>
      <c r="H19" s="2155"/>
      <c r="I19" s="2157"/>
      <c r="J19" s="2159"/>
      <c r="K19" s="2144"/>
      <c r="L19" s="2144"/>
      <c r="M19" s="2144"/>
      <c r="N19" s="2146"/>
      <c r="O19" s="2144"/>
      <c r="P19" s="2144"/>
      <c r="Q19" s="2144"/>
      <c r="R19" s="2147"/>
      <c r="S19" s="2144"/>
      <c r="T19" s="1303"/>
      <c r="U19" s="1303"/>
      <c r="V19" s="1303"/>
      <c r="W19" s="1304"/>
      <c r="X19" s="1265"/>
      <c r="Y19" s="1265"/>
      <c r="Z19" s="1265"/>
      <c r="AA19" s="1265"/>
      <c r="AB19" s="1265"/>
      <c r="AC19" s="1265"/>
      <c r="AD19" s="1265"/>
      <c r="AE19" s="1265"/>
      <c r="AF19" s="1265"/>
      <c r="AG19" s="1265"/>
      <c r="AH19" s="1265"/>
      <c r="AI19" s="1265"/>
      <c r="AJ19" s="1265"/>
      <c r="AK19" s="1265"/>
      <c r="AL19" s="1265"/>
      <c r="AM19" s="1265"/>
      <c r="AN19" s="1265"/>
      <c r="AO19" s="1265"/>
      <c r="AP19" s="1265"/>
      <c r="AQ19" s="1265"/>
      <c r="AR19" s="1289">
        <v>0</v>
      </c>
    </row>
    <row s="1859" customFormat="1" customHeight="1" ht="17.25" hidden="1">
      <c r="A20" s="327"/>
      <c r="C20" s="326"/>
      <c r="D20" s="2142"/>
      <c r="E20" s="2171"/>
      <c r="F20" s="2152"/>
      <c r="G20" s="2150"/>
      <c r="H20" s="2155"/>
      <c r="I20" s="2157"/>
      <c r="J20" s="2160"/>
      <c r="K20" s="2144"/>
      <c r="L20" s="2144"/>
      <c r="M20" s="2144"/>
      <c r="N20" s="2147"/>
      <c r="O20" s="2144"/>
      <c r="P20" s="1424"/>
      <c r="Q20" s="1303"/>
      <c r="R20" s="1303"/>
      <c r="S20" s="335"/>
      <c r="T20" s="335"/>
      <c r="U20" s="335"/>
      <c r="V20" s="335"/>
      <c r="W20" s="1304"/>
      <c r="X20" s="1265"/>
      <c r="Y20" s="1265"/>
      <c r="Z20" s="1265"/>
      <c r="AA20" s="1265"/>
      <c r="AB20" s="1265"/>
      <c r="AC20" s="1265"/>
      <c r="AD20" s="1265"/>
      <c r="AE20" s="1265"/>
      <c r="AF20" s="1265"/>
      <c r="AG20" s="1265"/>
      <c r="AH20" s="1265"/>
      <c r="AI20" s="1265"/>
      <c r="AJ20" s="1265"/>
      <c r="AK20" s="1265"/>
      <c r="AL20" s="1265"/>
      <c r="AM20" s="1265"/>
      <c r="AN20" s="1265"/>
      <c r="AO20" s="1265"/>
      <c r="AP20" s="1265"/>
      <c r="AQ20" s="1265"/>
      <c r="AR20" s="1289">
        <v>0</v>
      </c>
    </row>
    <row s="1859" customFormat="1" customHeight="1" ht="17.25" hidden="1">
      <c r="A21" s="327"/>
      <c r="C21" s="326"/>
      <c r="D21" s="2142"/>
      <c r="E21" s="2171"/>
      <c r="F21" s="2152"/>
      <c r="G21" s="2150"/>
      <c r="H21" s="2155"/>
      <c r="I21" s="2157"/>
      <c r="J21" s="2160"/>
      <c r="K21" s="2144"/>
      <c r="L21" s="1303"/>
      <c r="M21" s="1303"/>
      <c r="N21" s="1303"/>
      <c r="O21" s="1303"/>
      <c r="P21" s="1303"/>
      <c r="Q21" s="1303"/>
      <c r="R21" s="1303"/>
      <c r="S21" s="335"/>
      <c r="T21" s="335"/>
      <c r="U21" s="335"/>
      <c r="V21" s="335"/>
      <c r="W21" s="1304"/>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89">
        <v>0</v>
      </c>
    </row>
    <row s="1859" customFormat="1" customHeight="1" ht="17.25" hidden="1">
      <c r="A22" s="327"/>
      <c r="C22" s="326"/>
      <c r="D22" s="2142"/>
      <c r="E22" s="2171"/>
      <c r="F22" s="2153"/>
      <c r="G22" s="2150"/>
      <c r="H22" s="1305"/>
      <c r="I22" s="1306"/>
      <c r="J22" s="1306"/>
      <c r="K22" s="1306"/>
      <c r="L22" s="1306"/>
      <c r="M22" s="1306"/>
      <c r="N22" s="1306"/>
      <c r="O22" s="1306"/>
      <c r="P22" s="1306"/>
      <c r="Q22" s="1306"/>
      <c r="R22" s="1306"/>
      <c r="S22" s="1307"/>
      <c r="T22" s="1307"/>
      <c r="U22" s="1307"/>
      <c r="V22" s="1307"/>
      <c r="W22" s="1308"/>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89">
        <v>0</v>
      </c>
    </row>
    <row s="1859" customFormat="1" customHeight="1" ht="17.25" hidden="1">
      <c r="A23" s="327"/>
      <c r="C23" s="215"/>
      <c r="D23" s="2141">
        <v>2</v>
      </c>
      <c r="E23" s="2149" t="s">
        <v>167</v>
      </c>
      <c r="F23" s="2151" t="s">
        <v>19</v>
      </c>
      <c r="G23" s="2149"/>
      <c r="H23" s="2154"/>
      <c r="I23" s="2156"/>
      <c r="J23" s="2158"/>
      <c r="K23" s="2143"/>
      <c r="L23" s="2143"/>
      <c r="M23" s="2143"/>
      <c r="N23" s="2145"/>
      <c r="O23" s="2143"/>
      <c r="P23" s="2143"/>
      <c r="Q23" s="2143"/>
      <c r="R23" s="2148"/>
      <c r="S23" s="2143"/>
      <c r="T23" s="2004"/>
      <c r="U23" s="2004"/>
      <c r="V23" s="2006"/>
      <c r="W23" s="1302"/>
      <c r="X23" s="1273"/>
      <c r="Y23" s="1273"/>
      <c r="Z23" s="1273"/>
      <c r="AA23" s="1273"/>
      <c r="AB23" s="1273"/>
      <c r="AC23" s="1273" t="s">
        <v>162</v>
      </c>
      <c r="AD23" s="1273" t="s">
        <v>163</v>
      </c>
      <c r="AE23" s="1273" t="s">
        <v>164</v>
      </c>
      <c r="AF23" s="1273" t="s">
        <v>165</v>
      </c>
      <c r="AG23" s="1273" t="s">
        <v>166</v>
      </c>
      <c r="AH23" s="1273"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3" t="str">
        <f>IF($G$23=0,"",$G$23)</f>
        <v/>
      </c>
      <c r="AJ23" s="1273" t="str">
        <f>IF($J$23=0,"",$J$23)</f>
        <v/>
      </c>
      <c r="AK23" s="1273" t="str">
        <f>IF($K$23="нет","без дифференциации",IF($N$23=0,"",$N$23))</f>
        <v/>
      </c>
      <c r="AL23" s="1273" t="str">
        <f>IF($O$23="нет","без дифференциации",IF($R$23=0,"",$R$23))</f>
        <v/>
      </c>
      <c r="AM23" s="1273" t="str">
        <f>IF($S$23="нет","без дифференциации",IF($V$23=0,"",$V$23))</f>
        <v/>
      </c>
      <c r="AN23" s="1778">
        <f>$I$23</f>
        <v>0</v>
      </c>
      <c r="AO23" s="1273" t="str">
        <f>$I$23&amp;"."&amp;$M$23</f>
        <v>.</v>
      </c>
      <c r="AP23" s="1272" t="str">
        <f>$I$23&amp;"."&amp;$M$23&amp;"."&amp;$Q$23</f>
        <v>..</v>
      </c>
      <c r="AQ23" s="1272" t="str">
        <f>$I$23&amp;"."&amp;$M$23&amp;"."&amp;$Q$23&amp;"."&amp;$U$23</f>
        <v>...</v>
      </c>
      <c r="AR23" s="1473">
        <v>0</v>
      </c>
    </row>
    <row s="1859" customFormat="1" customHeight="1" ht="17.25" hidden="1">
      <c r="A24" s="327"/>
      <c r="C24" s="326"/>
      <c r="D24" s="2141"/>
      <c r="E24" s="2149"/>
      <c r="F24" s="2152"/>
      <c r="G24" s="2149"/>
      <c r="H24" s="2155"/>
      <c r="I24" s="2157"/>
      <c r="J24" s="2159"/>
      <c r="K24" s="2144"/>
      <c r="L24" s="2144"/>
      <c r="M24" s="2144"/>
      <c r="N24" s="2146"/>
      <c r="O24" s="2144"/>
      <c r="P24" s="2144"/>
      <c r="Q24" s="2144"/>
      <c r="R24" s="2147"/>
      <c r="S24" s="2144"/>
      <c r="T24" s="2009"/>
      <c r="U24" s="2009"/>
      <c r="V24" s="2009"/>
      <c r="W24" s="2010"/>
      <c r="X24" s="1272"/>
      <c r="Y24" s="1272"/>
      <c r="Z24" s="1272"/>
      <c r="AA24" s="1272"/>
      <c r="AB24" s="1272"/>
      <c r="AC24" s="1272"/>
      <c r="AD24" s="1272"/>
      <c r="AE24" s="1272"/>
      <c r="AF24" s="1272"/>
      <c r="AG24" s="1272"/>
      <c r="AH24" s="1272"/>
      <c r="AI24" s="1272"/>
      <c r="AJ24" s="1272"/>
      <c r="AK24" s="1272"/>
      <c r="AL24" s="1272"/>
      <c r="AM24" s="1272"/>
      <c r="AN24" s="1272"/>
      <c r="AO24" s="1272"/>
      <c r="AP24" s="1272"/>
      <c r="AQ24" s="1272"/>
      <c r="AR24" s="1473">
        <v>0</v>
      </c>
    </row>
    <row s="1859" customFormat="1" customHeight="1" ht="17.25" hidden="1">
      <c r="A25" s="327"/>
      <c r="C25" s="326"/>
      <c r="D25" s="2142"/>
      <c r="E25" s="2150"/>
      <c r="F25" s="2152"/>
      <c r="G25" s="2150"/>
      <c r="H25" s="2155"/>
      <c r="I25" s="2157"/>
      <c r="J25" s="2160"/>
      <c r="K25" s="2144"/>
      <c r="L25" s="2144"/>
      <c r="M25" s="2144"/>
      <c r="N25" s="2147"/>
      <c r="O25" s="2144"/>
      <c r="P25" s="2005"/>
      <c r="Q25" s="2009"/>
      <c r="R25" s="2009"/>
      <c r="S25" s="335"/>
      <c r="T25" s="335"/>
      <c r="U25" s="335"/>
      <c r="V25" s="335"/>
      <c r="W25" s="2010"/>
      <c r="X25" s="1272"/>
      <c r="Y25" s="1272"/>
      <c r="Z25" s="1272"/>
      <c r="AA25" s="1272"/>
      <c r="AB25" s="1272"/>
      <c r="AC25" s="1272"/>
      <c r="AD25" s="1272"/>
      <c r="AE25" s="1272"/>
      <c r="AF25" s="1272"/>
      <c r="AG25" s="1272"/>
      <c r="AH25" s="1272"/>
      <c r="AI25" s="1272"/>
      <c r="AJ25" s="1272"/>
      <c r="AK25" s="1272"/>
      <c r="AL25" s="1272"/>
      <c r="AM25" s="1272"/>
      <c r="AN25" s="1272"/>
      <c r="AO25" s="1272"/>
      <c r="AP25" s="1272"/>
      <c r="AQ25" s="1272"/>
      <c r="AR25" s="1473">
        <v>0</v>
      </c>
    </row>
    <row s="1859" customFormat="1" customHeight="1" ht="17.25" hidden="1">
      <c r="A26" s="327"/>
      <c r="C26" s="326"/>
      <c r="D26" s="2142"/>
      <c r="E26" s="2150"/>
      <c r="F26" s="2152"/>
      <c r="G26" s="2150"/>
      <c r="H26" s="2155"/>
      <c r="I26" s="2157"/>
      <c r="J26" s="2160"/>
      <c r="K26" s="2144"/>
      <c r="L26" s="2009"/>
      <c r="M26" s="2009"/>
      <c r="N26" s="2009"/>
      <c r="O26" s="2009"/>
      <c r="P26" s="2009"/>
      <c r="Q26" s="2009"/>
      <c r="R26" s="2009"/>
      <c r="S26" s="335"/>
      <c r="T26" s="335"/>
      <c r="U26" s="335"/>
      <c r="V26" s="335"/>
      <c r="W26" s="2010"/>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473">
        <v>0</v>
      </c>
    </row>
    <row s="1859" customFormat="1" customHeight="1" ht="17.25" hidden="1">
      <c r="A27" s="327"/>
      <c r="C27" s="326"/>
      <c r="D27" s="2142"/>
      <c r="E27" s="2150"/>
      <c r="F27" s="2153"/>
      <c r="G27" s="2150"/>
      <c r="H27" s="1305"/>
      <c r="I27" s="2007"/>
      <c r="J27" s="2007"/>
      <c r="K27" s="2007"/>
      <c r="L27" s="2007"/>
      <c r="M27" s="2007"/>
      <c r="N27" s="2007"/>
      <c r="O27" s="2007"/>
      <c r="P27" s="2007"/>
      <c r="Q27" s="2007"/>
      <c r="R27" s="2007"/>
      <c r="S27" s="1307"/>
      <c r="T27" s="1307"/>
      <c r="U27" s="1307"/>
      <c r="V27" s="1307"/>
      <c r="W27" s="2008"/>
      <c r="X27" s="1272"/>
      <c r="Y27" s="1272"/>
      <c r="Z27" s="1272"/>
      <c r="AA27" s="1272"/>
      <c r="AB27" s="1272"/>
      <c r="AC27" s="1272"/>
      <c r="AD27" s="1272"/>
      <c r="AE27" s="1272"/>
      <c r="AF27" s="1272"/>
      <c r="AG27" s="1272"/>
      <c r="AH27" s="1272"/>
      <c r="AI27" s="1272"/>
      <c r="AJ27" s="1272"/>
      <c r="AK27" s="1272"/>
      <c r="AL27" s="1272"/>
      <c r="AM27" s="1272"/>
      <c r="AN27" s="1272"/>
      <c r="AO27" s="1272"/>
      <c r="AP27" s="1272"/>
      <c r="AQ27" s="1272"/>
      <c r="AR27" s="1473">
        <v>0</v>
      </c>
    </row>
    <row s="1859" customFormat="1" customHeight="1" ht="17.25" hidden="1">
      <c r="A28" s="327"/>
      <c r="C28" s="215"/>
      <c r="D28" s="2141">
        <v>3</v>
      </c>
      <c r="E28" s="2149" t="s">
        <v>168</v>
      </c>
      <c r="F28" s="2151" t="s">
        <v>19</v>
      </c>
      <c r="G28" s="2149"/>
      <c r="H28" s="2154"/>
      <c r="I28" s="2156"/>
      <c r="J28" s="2158"/>
      <c r="K28" s="2143"/>
      <c r="L28" s="2143"/>
      <c r="M28" s="2143"/>
      <c r="N28" s="2145"/>
      <c r="O28" s="2143"/>
      <c r="P28" s="2143"/>
      <c r="Q28" s="2143"/>
      <c r="R28" s="2148"/>
      <c r="S28" s="2143"/>
      <c r="T28" s="1426"/>
      <c r="U28" s="1426"/>
      <c r="V28" s="1425"/>
      <c r="W28" s="1302"/>
      <c r="X28" s="1273"/>
      <c r="Y28" s="1273"/>
      <c r="Z28" s="1273"/>
      <c r="AA28" s="1273"/>
      <c r="AB28" s="1273"/>
      <c r="AC28" s="1273" t="s">
        <v>169</v>
      </c>
      <c r="AD28" s="1273" t="s">
        <v>170</v>
      </c>
      <c r="AE28" s="1273" t="s">
        <v>171</v>
      </c>
      <c r="AF28" s="1273" t="s">
        <v>172</v>
      </c>
      <c r="AG28" s="1273" t="s">
        <v>173</v>
      </c>
      <c r="AH28" s="1273" t="str">
        <f>IF($E$28=0,"",$E$28)</f>
        <v>Тарифы на теплоноситель, поставляемый теплоснабжающими организациями потребителям, другим теплоснабжающим организациям</v>
      </c>
      <c r="AI28" s="1273" t="str">
        <f>IF($G$28=0,"",$G$28)</f>
        <v/>
      </c>
      <c r="AJ28" s="1273" t="str">
        <f>IF($J$28=0,"",$J$28)</f>
        <v/>
      </c>
      <c r="AK28" s="1273" t="str">
        <f>IF($K$28="нет","без дифференциации",IF($N$28=0,"",$N$28))</f>
        <v/>
      </c>
      <c r="AL28" s="1273" t="str">
        <f>IF($O$28="нет","без дифференциации",IF($R$28=0,"",$R$28))</f>
        <v/>
      </c>
      <c r="AM28" s="1273" t="str">
        <f>IF($S$28="нет","без дифференциации",IF($V$28=0,"",$V$28))</f>
        <v/>
      </c>
      <c r="AN28" s="1778">
        <f>$I$28</f>
        <v>0</v>
      </c>
      <c r="AO28" s="1273" t="str">
        <f>$I$28&amp;"."&amp;$M$28</f>
        <v>.</v>
      </c>
      <c r="AP28" s="1265" t="str">
        <f>$I$28&amp;"."&amp;$M$28&amp;"."&amp;$Q$28</f>
        <v>..</v>
      </c>
      <c r="AQ28" s="1265" t="str">
        <f>$I$28&amp;"."&amp;$M$28&amp;"."&amp;$Q$28&amp;"."&amp;$U$28</f>
        <v>...</v>
      </c>
      <c r="AR28" s="1289">
        <v>0</v>
      </c>
    </row>
    <row s="1859" customFormat="1" customHeight="1" ht="17.25" hidden="1">
      <c r="A29" s="327"/>
      <c r="C29" s="326"/>
      <c r="D29" s="2141"/>
      <c r="E29" s="2149"/>
      <c r="F29" s="2152"/>
      <c r="G29" s="2149"/>
      <c r="H29" s="2155"/>
      <c r="I29" s="2157"/>
      <c r="J29" s="2159"/>
      <c r="K29" s="2144"/>
      <c r="L29" s="2144"/>
      <c r="M29" s="2144"/>
      <c r="N29" s="2146"/>
      <c r="O29" s="2144"/>
      <c r="P29" s="2144"/>
      <c r="Q29" s="2144"/>
      <c r="R29" s="2147"/>
      <c r="S29" s="2144"/>
      <c r="T29" s="1303"/>
      <c r="U29" s="1303"/>
      <c r="V29" s="1303"/>
      <c r="W29" s="1304"/>
      <c r="X29" s="1265"/>
      <c r="Y29" s="1265"/>
      <c r="Z29" s="1265"/>
      <c r="AA29" s="1265"/>
      <c r="AB29" s="1265"/>
      <c r="AC29" s="1265"/>
      <c r="AD29" s="1265"/>
      <c r="AE29" s="1265"/>
      <c r="AF29" s="1265"/>
      <c r="AG29" s="1265"/>
      <c r="AH29" s="1265"/>
      <c r="AI29" s="1265"/>
      <c r="AJ29" s="1265"/>
      <c r="AK29" s="1265"/>
      <c r="AL29" s="1265"/>
      <c r="AM29" s="1265"/>
      <c r="AN29" s="1265"/>
      <c r="AO29" s="1265"/>
      <c r="AP29" s="1265"/>
      <c r="AQ29" s="1265"/>
      <c r="AR29" s="1289">
        <v>0</v>
      </c>
    </row>
    <row s="1859" customFormat="1" customHeight="1" ht="17.25" hidden="1">
      <c r="A30" s="327"/>
      <c r="C30" s="326"/>
      <c r="D30" s="2142"/>
      <c r="E30" s="2150"/>
      <c r="F30" s="2152"/>
      <c r="G30" s="2150"/>
      <c r="H30" s="2155"/>
      <c r="I30" s="2157"/>
      <c r="J30" s="2160"/>
      <c r="K30" s="2144"/>
      <c r="L30" s="2144"/>
      <c r="M30" s="2144"/>
      <c r="N30" s="2147"/>
      <c r="O30" s="2144"/>
      <c r="P30" s="1424"/>
      <c r="Q30" s="1303"/>
      <c r="R30" s="1303"/>
      <c r="S30" s="335"/>
      <c r="T30" s="335"/>
      <c r="U30" s="335"/>
      <c r="V30" s="335"/>
      <c r="W30" s="1304"/>
      <c r="X30" s="1265"/>
      <c r="Y30" s="1265"/>
      <c r="Z30" s="1265"/>
      <c r="AA30" s="1265"/>
      <c r="AB30" s="1265"/>
      <c r="AC30" s="1265"/>
      <c r="AD30" s="1265"/>
      <c r="AE30" s="1265"/>
      <c r="AF30" s="1265"/>
      <c r="AG30" s="1265"/>
      <c r="AH30" s="1265"/>
      <c r="AI30" s="1265"/>
      <c r="AJ30" s="1265"/>
      <c r="AK30" s="1265"/>
      <c r="AL30" s="1265"/>
      <c r="AM30" s="1265"/>
      <c r="AN30" s="1265"/>
      <c r="AO30" s="1265"/>
      <c r="AP30" s="1265"/>
      <c r="AQ30" s="1265"/>
      <c r="AR30" s="1289">
        <v>0</v>
      </c>
    </row>
    <row s="1859" customFormat="1" customHeight="1" ht="17.25" hidden="1">
      <c r="A31" s="327"/>
      <c r="C31" s="326"/>
      <c r="D31" s="2142"/>
      <c r="E31" s="2150"/>
      <c r="F31" s="2152"/>
      <c r="G31" s="2150"/>
      <c r="H31" s="2155"/>
      <c r="I31" s="2157"/>
      <c r="J31" s="2160"/>
      <c r="K31" s="2144"/>
      <c r="L31" s="1303"/>
      <c r="M31" s="1303"/>
      <c r="N31" s="1303"/>
      <c r="O31" s="1303"/>
      <c r="P31" s="1303"/>
      <c r="Q31" s="1303"/>
      <c r="R31" s="1303"/>
      <c r="S31" s="335"/>
      <c r="T31" s="335"/>
      <c r="U31" s="335"/>
      <c r="V31" s="335"/>
      <c r="W31" s="1304"/>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89">
        <v>0</v>
      </c>
    </row>
    <row s="1859" customFormat="1" customHeight="1" ht="17.25" hidden="1">
      <c r="A32" s="327"/>
      <c r="C32" s="326"/>
      <c r="D32" s="2142"/>
      <c r="E32" s="2150"/>
      <c r="F32" s="2153"/>
      <c r="G32" s="2150"/>
      <c r="H32" s="1305"/>
      <c r="I32" s="1306"/>
      <c r="J32" s="1306"/>
      <c r="K32" s="1306"/>
      <c r="L32" s="1306"/>
      <c r="M32" s="1306"/>
      <c r="N32" s="1306"/>
      <c r="O32" s="1306"/>
      <c r="P32" s="1306"/>
      <c r="Q32" s="1306"/>
      <c r="R32" s="1306"/>
      <c r="S32" s="1307"/>
      <c r="T32" s="1307"/>
      <c r="U32" s="1307"/>
      <c r="V32" s="1307"/>
      <c r="W32" s="1308"/>
      <c r="X32" s="1265"/>
      <c r="Y32" s="1265"/>
      <c r="Z32" s="1265"/>
      <c r="AA32" s="1265"/>
      <c r="AB32" s="1265"/>
      <c r="AC32" s="1265"/>
      <c r="AD32" s="1265"/>
      <c r="AE32" s="1265"/>
      <c r="AF32" s="1265"/>
      <c r="AG32" s="1265"/>
      <c r="AH32" s="1265"/>
      <c r="AI32" s="1265"/>
      <c r="AJ32" s="1265"/>
      <c r="AK32" s="1265"/>
      <c r="AL32" s="1265"/>
      <c r="AM32" s="1265"/>
      <c r="AN32" s="1265"/>
      <c r="AO32" s="1265"/>
      <c r="AP32" s="1265"/>
      <c r="AQ32" s="1265"/>
      <c r="AR32" s="1289">
        <v>0</v>
      </c>
    </row>
    <row s="1859" customFormat="1" customHeight="1" ht="17.25" hidden="1">
      <c r="A33" s="327"/>
      <c r="C33" s="215"/>
      <c r="D33" s="2141">
        <v>4</v>
      </c>
      <c r="E33" s="2149" t="s">
        <v>174</v>
      </c>
      <c r="F33" s="2151" t="s">
        <v>19</v>
      </c>
      <c r="G33" s="2149"/>
      <c r="H33" s="2154"/>
      <c r="I33" s="2156"/>
      <c r="J33" s="2158"/>
      <c r="K33" s="2143"/>
      <c r="L33" s="2143"/>
      <c r="M33" s="2143"/>
      <c r="N33" s="2145"/>
      <c r="O33" s="2143"/>
      <c r="P33" s="2143"/>
      <c r="Q33" s="2143"/>
      <c r="R33" s="2148"/>
      <c r="S33" s="2143"/>
      <c r="T33" s="1426"/>
      <c r="U33" s="1426"/>
      <c r="V33" s="1425"/>
      <c r="W33" s="1302"/>
      <c r="X33" s="1273"/>
      <c r="Y33" s="1273"/>
      <c r="Z33" s="1273"/>
      <c r="AA33" s="1273"/>
      <c r="AB33" s="1273"/>
      <c r="AC33" s="1273" t="s">
        <v>175</v>
      </c>
      <c r="AD33" s="1273" t="s">
        <v>176</v>
      </c>
      <c r="AE33" s="1273" t="s">
        <v>177</v>
      </c>
      <c r="AF33" s="1273" t="s">
        <v>178</v>
      </c>
      <c r="AG33" s="1273" t="s">
        <v>179</v>
      </c>
      <c r="AH33" s="127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3" t="str">
        <f>IF($G$33=0,"",$G$33)</f>
        <v/>
      </c>
      <c r="AJ33" s="1273" t="str">
        <f>IF($J$33=0,"",$J$33)</f>
        <v/>
      </c>
      <c r="AK33" s="1273" t="str">
        <f>IF($K$33="нет","без дифференциации",IF($N$33=0,"",$N$33))</f>
        <v/>
      </c>
      <c r="AL33" s="1273" t="str">
        <f>IF($O$33="нет","без дифференциации",IF($R$33=0,"",$R$33))</f>
        <v/>
      </c>
      <c r="AM33" s="1273" t="str">
        <f>IF($S$33="нет","без дифференциации",IF($V$33=0,"",$V$33))</f>
        <v/>
      </c>
      <c r="AN33" s="1778">
        <f>$I$33</f>
        <v>0</v>
      </c>
      <c r="AO33" s="1273" t="str">
        <f>$I$33&amp;"."&amp;$M$33</f>
        <v>.</v>
      </c>
      <c r="AP33" s="1265" t="str">
        <f>$I$33&amp;"."&amp;$M$33&amp;"."&amp;$Q$33</f>
        <v>..</v>
      </c>
      <c r="AQ33" s="1265" t="str">
        <f>$I$33&amp;"."&amp;$M$33&amp;"."&amp;$Q$33&amp;"."&amp;$U$33</f>
        <v>...</v>
      </c>
      <c r="AR33" s="1289">
        <v>0</v>
      </c>
    </row>
    <row s="1859" customFormat="1" customHeight="1" ht="17.25" hidden="1">
      <c r="A34" s="327"/>
      <c r="C34" s="326"/>
      <c r="D34" s="2141"/>
      <c r="E34" s="2149"/>
      <c r="F34" s="2152"/>
      <c r="G34" s="2149"/>
      <c r="H34" s="2155"/>
      <c r="I34" s="2157"/>
      <c r="J34" s="2159"/>
      <c r="K34" s="2144"/>
      <c r="L34" s="2144"/>
      <c r="M34" s="2144"/>
      <c r="N34" s="2146"/>
      <c r="O34" s="2144"/>
      <c r="P34" s="2144"/>
      <c r="Q34" s="2144"/>
      <c r="R34" s="2147"/>
      <c r="S34" s="2144"/>
      <c r="T34" s="1303"/>
      <c r="U34" s="1303"/>
      <c r="V34" s="1303"/>
      <c r="W34" s="1304"/>
      <c r="X34" s="1265"/>
      <c r="Y34" s="1265"/>
      <c r="Z34" s="1265"/>
      <c r="AA34" s="1265"/>
      <c r="AB34" s="1265"/>
      <c r="AC34" s="1265"/>
      <c r="AD34" s="1265"/>
      <c r="AE34" s="1265"/>
      <c r="AF34" s="1265"/>
      <c r="AG34" s="1265"/>
      <c r="AH34" s="1265"/>
      <c r="AI34" s="1265"/>
      <c r="AJ34" s="1265"/>
      <c r="AK34" s="1265"/>
      <c r="AL34" s="1265"/>
      <c r="AM34" s="1265"/>
      <c r="AN34" s="1265"/>
      <c r="AO34" s="1265"/>
      <c r="AP34" s="1265"/>
      <c r="AQ34" s="1265"/>
      <c r="AR34" s="1289">
        <v>0</v>
      </c>
    </row>
    <row s="1859" customFormat="1" customHeight="1" ht="17.25" hidden="1">
      <c r="A35" s="327"/>
      <c r="C35" s="326"/>
      <c r="D35" s="2142"/>
      <c r="E35" s="2150"/>
      <c r="F35" s="2152"/>
      <c r="G35" s="2150"/>
      <c r="H35" s="2155"/>
      <c r="I35" s="2157"/>
      <c r="J35" s="2160"/>
      <c r="K35" s="2144"/>
      <c r="L35" s="2144"/>
      <c r="M35" s="2144"/>
      <c r="N35" s="2147"/>
      <c r="O35" s="2144"/>
      <c r="P35" s="1424"/>
      <c r="Q35" s="1303"/>
      <c r="R35" s="1303"/>
      <c r="S35" s="335"/>
      <c r="T35" s="335"/>
      <c r="U35" s="335"/>
      <c r="V35" s="335"/>
      <c r="W35" s="1304"/>
      <c r="X35" s="1265"/>
      <c r="Y35" s="1265"/>
      <c r="Z35" s="1265"/>
      <c r="AA35" s="1265"/>
      <c r="AB35" s="1265"/>
      <c r="AC35" s="1265"/>
      <c r="AD35" s="1265"/>
      <c r="AE35" s="1265"/>
      <c r="AF35" s="1265"/>
      <c r="AG35" s="1265"/>
      <c r="AH35" s="1265"/>
      <c r="AI35" s="1265"/>
      <c r="AJ35" s="1265"/>
      <c r="AK35" s="1265"/>
      <c r="AL35" s="1265"/>
      <c r="AM35" s="1265"/>
      <c r="AN35" s="1265"/>
      <c r="AO35" s="1265"/>
      <c r="AP35" s="1265"/>
      <c r="AQ35" s="1265"/>
      <c r="AR35" s="1289">
        <v>0</v>
      </c>
    </row>
    <row s="1859" customFormat="1" customHeight="1" ht="17.25" hidden="1">
      <c r="A36" s="327"/>
      <c r="C36" s="326"/>
      <c r="D36" s="2142"/>
      <c r="E36" s="2150"/>
      <c r="F36" s="2152"/>
      <c r="G36" s="2150"/>
      <c r="H36" s="2155"/>
      <c r="I36" s="2157"/>
      <c r="J36" s="2160"/>
      <c r="K36" s="2144"/>
      <c r="L36" s="1303"/>
      <c r="M36" s="1303"/>
      <c r="N36" s="1303"/>
      <c r="O36" s="1303"/>
      <c r="P36" s="1303"/>
      <c r="Q36" s="1303"/>
      <c r="R36" s="1303"/>
      <c r="S36" s="335"/>
      <c r="T36" s="335"/>
      <c r="U36" s="335"/>
      <c r="V36" s="335"/>
      <c r="W36" s="1304"/>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89">
        <v>0</v>
      </c>
    </row>
    <row s="1859" customFormat="1" customHeight="1" ht="17.25" hidden="1">
      <c r="A37" s="327"/>
      <c r="C37" s="326"/>
      <c r="D37" s="2142"/>
      <c r="E37" s="2150"/>
      <c r="F37" s="2153"/>
      <c r="G37" s="2150"/>
      <c r="H37" s="1305"/>
      <c r="I37" s="1306"/>
      <c r="J37" s="1306"/>
      <c r="K37" s="1306"/>
      <c r="L37" s="1306"/>
      <c r="M37" s="1306"/>
      <c r="N37" s="1306"/>
      <c r="O37" s="1306"/>
      <c r="P37" s="1306"/>
      <c r="Q37" s="1306"/>
      <c r="R37" s="1306"/>
      <c r="S37" s="1307"/>
      <c r="T37" s="1307"/>
      <c r="U37" s="1307"/>
      <c r="V37" s="1307"/>
      <c r="W37" s="1308"/>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89">
        <v>0</v>
      </c>
    </row>
    <row s="1859" customFormat="1" customHeight="1" ht="17.25" hidden="1">
      <c r="A38" s="327"/>
      <c r="C38" s="215"/>
      <c r="D38" s="2141">
        <v>5</v>
      </c>
      <c r="E38" s="2149" t="s">
        <v>180</v>
      </c>
      <c r="F38" s="2151" t="s">
        <v>19</v>
      </c>
      <c r="G38" s="2149"/>
      <c r="H38" s="2154"/>
      <c r="I38" s="2156"/>
      <c r="J38" s="2158"/>
      <c r="K38" s="2143"/>
      <c r="L38" s="2143"/>
      <c r="M38" s="2143"/>
      <c r="N38" s="2145"/>
      <c r="O38" s="2143"/>
      <c r="P38" s="2143"/>
      <c r="Q38" s="2143"/>
      <c r="R38" s="2148"/>
      <c r="S38" s="2143"/>
      <c r="T38" s="1426"/>
      <c r="U38" s="1426"/>
      <c r="V38" s="1425"/>
      <c r="W38" s="1302"/>
      <c r="X38" s="1273"/>
      <c r="Y38" s="1273"/>
      <c r="Z38" s="1273"/>
      <c r="AA38" s="1273"/>
      <c r="AB38" s="1273"/>
      <c r="AC38" s="1273" t="s">
        <v>181</v>
      </c>
      <c r="AD38" s="1273" t="s">
        <v>182</v>
      </c>
      <c r="AE38" s="1273" t="s">
        <v>183</v>
      </c>
      <c r="AF38" s="1273" t="s">
        <v>184</v>
      </c>
      <c r="AG38" s="1273" t="s">
        <v>185</v>
      </c>
      <c r="AH38" s="1273" t="str">
        <f>IF($E$38=0,"",$E$38)</f>
        <v>Тарифы на услуги по передаче тепловой энергии</v>
      </c>
      <c r="AI38" s="1273" t="str">
        <f>IF($G$38=0,"",$G$38)</f>
        <v/>
      </c>
      <c r="AJ38" s="1273" t="str">
        <f>IF($J$38=0,"",$J$38)</f>
        <v/>
      </c>
      <c r="AK38" s="1273" t="str">
        <f>IF($K$38="нет","без дифференциации",IF($N$38=0,"",$N$38))</f>
        <v/>
      </c>
      <c r="AL38" s="1273" t="str">
        <f>IF($O$38="нет","без дифференциации",IF($R$38=0,"",$R$38))</f>
        <v/>
      </c>
      <c r="AM38" s="1273" t="str">
        <f>IF($S$38="нет","без дифференциации",IF($V$38=0,"",$V$38))</f>
        <v/>
      </c>
      <c r="AN38" s="1778">
        <f>$I$38</f>
        <v>0</v>
      </c>
      <c r="AO38" s="1273" t="str">
        <f>$I$38&amp;"."&amp;$M$38</f>
        <v>.</v>
      </c>
      <c r="AP38" s="1265" t="str">
        <f>$I$38&amp;"."&amp;$M$38&amp;"."&amp;$Q$38</f>
        <v>..</v>
      </c>
      <c r="AQ38" s="1265" t="str">
        <f>$I$38&amp;"."&amp;$M$38&amp;"."&amp;$Q$38&amp;"."&amp;$U$38</f>
        <v>...</v>
      </c>
      <c r="AR38" s="1289">
        <v>0</v>
      </c>
    </row>
    <row s="1859" customFormat="1" customHeight="1" ht="17.25" hidden="1">
      <c r="A39" s="327"/>
      <c r="C39" s="326"/>
      <c r="D39" s="2141"/>
      <c r="E39" s="2149"/>
      <c r="F39" s="2152"/>
      <c r="G39" s="2149"/>
      <c r="H39" s="2155"/>
      <c r="I39" s="2157"/>
      <c r="J39" s="2159"/>
      <c r="K39" s="2144"/>
      <c r="L39" s="2144"/>
      <c r="M39" s="2144"/>
      <c r="N39" s="2146"/>
      <c r="O39" s="2144"/>
      <c r="P39" s="2144"/>
      <c r="Q39" s="2144"/>
      <c r="R39" s="2147"/>
      <c r="S39" s="2144"/>
      <c r="T39" s="1303"/>
      <c r="U39" s="1303"/>
      <c r="V39" s="1303"/>
      <c r="W39" s="1304"/>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89">
        <v>0</v>
      </c>
    </row>
    <row s="1859" customFormat="1" customHeight="1" ht="17.25" hidden="1">
      <c r="A40" s="327"/>
      <c r="C40" s="326"/>
      <c r="D40" s="2142"/>
      <c r="E40" s="2150"/>
      <c r="F40" s="2152"/>
      <c r="G40" s="2150"/>
      <c r="H40" s="2155"/>
      <c r="I40" s="2157"/>
      <c r="J40" s="2160"/>
      <c r="K40" s="2144"/>
      <c r="L40" s="2144"/>
      <c r="M40" s="2144"/>
      <c r="N40" s="2147"/>
      <c r="O40" s="2144"/>
      <c r="P40" s="1424"/>
      <c r="Q40" s="1303"/>
      <c r="R40" s="1303"/>
      <c r="S40" s="335"/>
      <c r="T40" s="335"/>
      <c r="U40" s="335"/>
      <c r="V40" s="335"/>
      <c r="W40" s="1304"/>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89">
        <v>0</v>
      </c>
    </row>
    <row s="1859" customFormat="1" customHeight="1" ht="17.25" hidden="1">
      <c r="A41" s="327"/>
      <c r="C41" s="326"/>
      <c r="D41" s="2142"/>
      <c r="E41" s="2150"/>
      <c r="F41" s="2152"/>
      <c r="G41" s="2150"/>
      <c r="H41" s="2155"/>
      <c r="I41" s="2157"/>
      <c r="J41" s="2160"/>
      <c r="K41" s="2144"/>
      <c r="L41" s="1303"/>
      <c r="M41" s="1303"/>
      <c r="N41" s="1303"/>
      <c r="O41" s="1303"/>
      <c r="P41" s="1303"/>
      <c r="Q41" s="1303"/>
      <c r="R41" s="1303"/>
      <c r="S41" s="335"/>
      <c r="T41" s="335"/>
      <c r="U41" s="335"/>
      <c r="V41" s="335"/>
      <c r="W41" s="1304"/>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89">
        <v>0</v>
      </c>
    </row>
    <row s="1859" customFormat="1" customHeight="1" ht="17.25" hidden="1">
      <c r="A42" s="327"/>
      <c r="C42" s="326"/>
      <c r="D42" s="2142"/>
      <c r="E42" s="2150"/>
      <c r="F42" s="2153"/>
      <c r="G42" s="2150"/>
      <c r="H42" s="1305"/>
      <c r="I42" s="1306"/>
      <c r="J42" s="1306"/>
      <c r="K42" s="1306"/>
      <c r="L42" s="1306"/>
      <c r="M42" s="1306"/>
      <c r="N42" s="1306"/>
      <c r="O42" s="1306"/>
      <c r="P42" s="1306"/>
      <c r="Q42" s="1306"/>
      <c r="R42" s="1306"/>
      <c r="S42" s="1307"/>
      <c r="T42" s="1307"/>
      <c r="U42" s="1307"/>
      <c r="V42" s="1307"/>
      <c r="W42" s="1308"/>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89">
        <v>0</v>
      </c>
    </row>
    <row s="1859" customFormat="1" customHeight="1" ht="17.25" hidden="1">
      <c r="A43" s="327"/>
      <c r="C43" s="215"/>
      <c r="D43" s="2141">
        <v>6</v>
      </c>
      <c r="E43" s="2149" t="s">
        <v>186</v>
      </c>
      <c r="F43" s="2151" t="s">
        <v>19</v>
      </c>
      <c r="G43" s="2149"/>
      <c r="H43" s="2154"/>
      <c r="I43" s="2156"/>
      <c r="J43" s="2158"/>
      <c r="K43" s="2143"/>
      <c r="L43" s="2143"/>
      <c r="M43" s="2143"/>
      <c r="N43" s="2145"/>
      <c r="O43" s="2143"/>
      <c r="P43" s="2143"/>
      <c r="Q43" s="2143"/>
      <c r="R43" s="2148"/>
      <c r="S43" s="2143"/>
      <c r="T43" s="1426"/>
      <c r="U43" s="1426"/>
      <c r="V43" s="1425"/>
      <c r="W43" s="1302"/>
      <c r="X43" s="1273"/>
      <c r="Y43" s="1273"/>
      <c r="Z43" s="1273"/>
      <c r="AA43" s="1273"/>
      <c r="AB43" s="1273"/>
      <c r="AC43" s="1273" t="s">
        <v>187</v>
      </c>
      <c r="AD43" s="1273" t="s">
        <v>188</v>
      </c>
      <c r="AE43" s="1273" t="s">
        <v>189</v>
      </c>
      <c r="AF43" s="1273" t="s">
        <v>190</v>
      </c>
      <c r="AG43" s="1273" t="s">
        <v>191</v>
      </c>
      <c r="AH43" s="1273" t="str">
        <f>IF($E$43=0,"",$E$43)</f>
        <v>Тарифы на услуги по передаче теплоносителя</v>
      </c>
      <c r="AI43" s="1273" t="str">
        <f>IF($G$43=0,"",$G$43)</f>
        <v/>
      </c>
      <c r="AJ43" s="1273" t="str">
        <f>IF($J$43=0,"",$J$43)</f>
        <v/>
      </c>
      <c r="AK43" s="1273" t="str">
        <f>IF($K$43="нет","без дифференциации",IF($N$43=0,"",$N$43))</f>
        <v/>
      </c>
      <c r="AL43" s="1273" t="str">
        <f>IF($O$43="нет","без дифференциации",IF($R$43=0,"",$R$43))</f>
        <v/>
      </c>
      <c r="AM43" s="1273" t="str">
        <f>IF($S$43="нет","без дифференциации",IF($V$43=0,"",$V$43))</f>
        <v/>
      </c>
      <c r="AN43" s="1778">
        <f>$I$43</f>
        <v>0</v>
      </c>
      <c r="AO43" s="1273" t="str">
        <f>$I$43&amp;"."&amp;$M$43</f>
        <v>.</v>
      </c>
      <c r="AP43" s="1265" t="str">
        <f>$I$43&amp;"."&amp;$M$43&amp;"."&amp;$Q$43</f>
        <v>..</v>
      </c>
      <c r="AQ43" s="1265" t="str">
        <f>$I$43&amp;"."&amp;$M$43&amp;"."&amp;$Q$43&amp;"."&amp;$U$43</f>
        <v>...</v>
      </c>
      <c r="AR43" s="1289">
        <v>0</v>
      </c>
    </row>
    <row s="1859" customFormat="1" customHeight="1" ht="17.25" hidden="1">
      <c r="A44" s="327"/>
      <c r="C44" s="326"/>
      <c r="D44" s="2141"/>
      <c r="E44" s="2149"/>
      <c r="F44" s="2152"/>
      <c r="G44" s="2149"/>
      <c r="H44" s="2155"/>
      <c r="I44" s="2157"/>
      <c r="J44" s="2159"/>
      <c r="K44" s="2144"/>
      <c r="L44" s="2144"/>
      <c r="M44" s="2144"/>
      <c r="N44" s="2146"/>
      <c r="O44" s="2144"/>
      <c r="P44" s="2144"/>
      <c r="Q44" s="2144"/>
      <c r="R44" s="2147"/>
      <c r="S44" s="2144"/>
      <c r="T44" s="1303"/>
      <c r="U44" s="1303"/>
      <c r="V44" s="1303"/>
      <c r="W44" s="1304"/>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89">
        <v>0</v>
      </c>
    </row>
    <row s="1859" customFormat="1" customHeight="1" ht="17.25" hidden="1">
      <c r="A45" s="327"/>
      <c r="C45" s="326"/>
      <c r="D45" s="2142"/>
      <c r="E45" s="2150"/>
      <c r="F45" s="2152"/>
      <c r="G45" s="2150"/>
      <c r="H45" s="2155"/>
      <c r="I45" s="2157"/>
      <c r="J45" s="2160"/>
      <c r="K45" s="2144"/>
      <c r="L45" s="2144"/>
      <c r="M45" s="2144"/>
      <c r="N45" s="2147"/>
      <c r="O45" s="2144"/>
      <c r="P45" s="1424"/>
      <c r="Q45" s="1303"/>
      <c r="R45" s="1303"/>
      <c r="S45" s="335"/>
      <c r="T45" s="335"/>
      <c r="U45" s="335"/>
      <c r="V45" s="335"/>
      <c r="W45" s="1304"/>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89">
        <v>0</v>
      </c>
    </row>
    <row s="1859" customFormat="1" customHeight="1" ht="17.25" hidden="1">
      <c r="A46" s="327"/>
      <c r="C46" s="215"/>
      <c r="D46" s="2142"/>
      <c r="E46" s="2150"/>
      <c r="F46" s="2152"/>
      <c r="G46" s="2150"/>
      <c r="H46" s="2155"/>
      <c r="I46" s="2157"/>
      <c r="J46" s="2160"/>
      <c r="K46" s="2144"/>
      <c r="L46" s="1303"/>
      <c r="M46" s="1303"/>
      <c r="N46" s="1303"/>
      <c r="O46" s="1303"/>
      <c r="P46" s="1303"/>
      <c r="Q46" s="1303"/>
      <c r="R46" s="1303"/>
      <c r="S46" s="335"/>
      <c r="T46" s="335"/>
      <c r="U46" s="335"/>
      <c r="V46" s="335"/>
      <c r="W46" s="1304"/>
      <c r="Y46" s="1273"/>
      <c r="Z46" s="1273"/>
      <c r="AA46" s="1273"/>
      <c r="AB46" s="1273"/>
      <c r="AC46" s="1273"/>
      <c r="AD46" s="1273"/>
      <c r="AE46" s="1273"/>
      <c r="AF46" s="1273"/>
      <c r="AG46" s="1273"/>
      <c r="AH46" s="1273"/>
      <c r="AI46" s="1273"/>
      <c r="AJ46" s="1273"/>
      <c r="AK46" s="1273"/>
      <c r="AL46" s="1273"/>
      <c r="AM46" s="1273"/>
      <c r="AN46" s="1273"/>
      <c r="AO46" s="1273"/>
      <c r="AP46" s="1273"/>
      <c r="AQ46" s="1273"/>
      <c r="AR46" s="1332">
        <v>0</v>
      </c>
    </row>
    <row s="1859" customFormat="1" customHeight="1" ht="17.25" hidden="1">
      <c r="A47" s="327"/>
      <c r="C47" s="326"/>
      <c r="D47" s="2142"/>
      <c r="E47" s="2150"/>
      <c r="F47" s="2153"/>
      <c r="G47" s="2150"/>
      <c r="H47" s="1305"/>
      <c r="I47" s="1306"/>
      <c r="J47" s="1306"/>
      <c r="K47" s="1306"/>
      <c r="L47" s="1306"/>
      <c r="M47" s="1306"/>
      <c r="N47" s="1306"/>
      <c r="O47" s="1306"/>
      <c r="P47" s="1306"/>
      <c r="Q47" s="1306"/>
      <c r="R47" s="1306"/>
      <c r="S47" s="1307"/>
      <c r="T47" s="1307"/>
      <c r="U47" s="1307"/>
      <c r="V47" s="1307"/>
      <c r="W47" s="1308"/>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89">
        <v>0</v>
      </c>
    </row>
    <row s="1859" customFormat="1" customHeight="1" ht="17.25" hidden="1">
      <c r="A48" s="327"/>
      <c r="C48" s="215"/>
      <c r="D48" s="2172">
        <v>7</v>
      </c>
      <c r="E48" s="2175" t="s">
        <v>192</v>
      </c>
      <c r="F48" s="2151" t="s">
        <v>19</v>
      </c>
      <c r="G48" s="2175"/>
      <c r="H48" s="2154"/>
      <c r="I48" s="2156"/>
      <c r="J48" s="2158"/>
      <c r="K48" s="2143"/>
      <c r="L48" s="2143"/>
      <c r="M48" s="2143"/>
      <c r="N48" s="2145"/>
      <c r="O48" s="2143"/>
      <c r="P48" s="2143"/>
      <c r="Q48" s="2143"/>
      <c r="R48" s="2148"/>
      <c r="S48" s="2143"/>
      <c r="T48" s="1426"/>
      <c r="U48" s="1426"/>
      <c r="V48" s="1425"/>
      <c r="W48" s="1302"/>
      <c r="X48" s="1273"/>
      <c r="Y48" s="1273"/>
      <c r="Z48" s="1273"/>
      <c r="AA48" s="1273"/>
      <c r="AB48" s="1273"/>
      <c r="AC48" s="1273" t="s">
        <v>193</v>
      </c>
      <c r="AD48" s="1273" t="s">
        <v>194</v>
      </c>
      <c r="AE48" s="1273" t="s">
        <v>195</v>
      </c>
      <c r="AF48" s="1273" t="s">
        <v>196</v>
      </c>
      <c r="AG48" s="1273" t="s">
        <v>197</v>
      </c>
      <c r="AH48" s="1273" t="str">
        <f>IF($E$48=0,"",$E$48)</f>
        <v>Плата за услуги по поддержанию резервной тепловой мощности при отсутствии потребления тепловой энергии</v>
      </c>
      <c r="AI48" s="1273" t="str">
        <f>IF($G$48=0,"",$G$48)</f>
        <v/>
      </c>
      <c r="AJ48" s="1273" t="str">
        <f>IF($J$48=0,"",$J$48)</f>
        <v/>
      </c>
      <c r="AK48" s="1273" t="str">
        <f>IF($K$48="нет","без дифференциации",IF($N$48=0,"",$N$48))</f>
        <v/>
      </c>
      <c r="AL48" s="1273" t="str">
        <f>IF($O$48="нет","без дифференциации",IF($R$48=0,"",$R$48))</f>
        <v/>
      </c>
      <c r="AM48" s="1273" t="str">
        <f>IF($S$48="нет","без дифференциации",IF($V$48=0,"",$V$48))</f>
        <v/>
      </c>
      <c r="AN48" s="1778">
        <f>$I$48</f>
        <v>0</v>
      </c>
      <c r="AO48" s="1273" t="str">
        <f>$I$48&amp;"."&amp;$M$48</f>
        <v>.</v>
      </c>
      <c r="AP48" s="1265" t="str">
        <f>$I$48&amp;"."&amp;$M$48&amp;"."&amp;$Q$48</f>
        <v>..</v>
      </c>
      <c r="AQ48" s="1265" t="str">
        <f>$I$48&amp;"."&amp;$M$48&amp;"."&amp;$Q$48&amp;"."&amp;$U$48</f>
        <v>...</v>
      </c>
      <c r="AR48" s="1314">
        <v>0</v>
      </c>
    </row>
    <row s="1859" customFormat="1" customHeight="1" ht="17.25" hidden="1">
      <c r="A49" s="327"/>
      <c r="C49" s="326"/>
      <c r="D49" s="2173"/>
      <c r="E49" s="2176"/>
      <c r="F49" s="2152"/>
      <c r="G49" s="2176"/>
      <c r="H49" s="2155"/>
      <c r="I49" s="2157"/>
      <c r="J49" s="2159"/>
      <c r="K49" s="2144"/>
      <c r="L49" s="2144"/>
      <c r="M49" s="2144"/>
      <c r="N49" s="2146"/>
      <c r="O49" s="2144"/>
      <c r="P49" s="2144"/>
      <c r="Q49" s="2144"/>
      <c r="R49" s="2147"/>
      <c r="S49" s="2144"/>
      <c r="T49" s="1303"/>
      <c r="U49" s="1303"/>
      <c r="V49" s="1303"/>
      <c r="W49" s="1304"/>
      <c r="X49" s="1265"/>
      <c r="Y49" s="1265"/>
      <c r="Z49" s="1265"/>
      <c r="AA49" s="1265"/>
      <c r="AB49" s="1265"/>
      <c r="AC49" s="1265"/>
      <c r="AD49" s="1265"/>
      <c r="AE49" s="1265"/>
      <c r="AF49" s="1265"/>
      <c r="AG49" s="1265"/>
      <c r="AH49" s="1265"/>
      <c r="AI49" s="1265"/>
      <c r="AJ49" s="1265"/>
      <c r="AK49" s="1265"/>
      <c r="AL49" s="1265"/>
      <c r="AM49" s="1265"/>
      <c r="AN49" s="1265"/>
      <c r="AO49" s="1265"/>
      <c r="AP49" s="1265"/>
      <c r="AQ49" s="1265"/>
      <c r="AR49" s="1314">
        <v>0</v>
      </c>
    </row>
    <row s="1859" customFormat="1" customHeight="1" ht="17.25" hidden="1">
      <c r="A50" s="327"/>
      <c r="C50" s="326"/>
      <c r="D50" s="2173"/>
      <c r="E50" s="2176"/>
      <c r="F50" s="2152"/>
      <c r="G50" s="2176"/>
      <c r="H50" s="2155"/>
      <c r="I50" s="2157"/>
      <c r="J50" s="2160"/>
      <c r="K50" s="2144"/>
      <c r="L50" s="2144"/>
      <c r="M50" s="2144"/>
      <c r="N50" s="2147"/>
      <c r="O50" s="2144"/>
      <c r="P50" s="1424"/>
      <c r="Q50" s="1303"/>
      <c r="R50" s="1303"/>
      <c r="S50" s="335"/>
      <c r="T50" s="335"/>
      <c r="U50" s="335"/>
      <c r="V50" s="335"/>
      <c r="W50" s="1304"/>
      <c r="X50" s="1265"/>
      <c r="Y50" s="1265"/>
      <c r="Z50" s="1265"/>
      <c r="AA50" s="1265"/>
      <c r="AB50" s="1265"/>
      <c r="AC50" s="1265"/>
      <c r="AD50" s="1265"/>
      <c r="AE50" s="1265"/>
      <c r="AF50" s="1265"/>
      <c r="AG50" s="1265"/>
      <c r="AH50" s="1265"/>
      <c r="AI50" s="1265"/>
      <c r="AJ50" s="1265"/>
      <c r="AK50" s="1265"/>
      <c r="AL50" s="1265"/>
      <c r="AM50" s="1265"/>
      <c r="AN50" s="1265"/>
      <c r="AO50" s="1265"/>
      <c r="AP50" s="1265"/>
      <c r="AQ50" s="1265"/>
      <c r="AR50" s="1314">
        <v>0</v>
      </c>
    </row>
    <row s="1859" customFormat="1" customHeight="1" ht="17.25" hidden="1">
      <c r="A51" s="327"/>
      <c r="C51" s="215"/>
      <c r="D51" s="2173"/>
      <c r="E51" s="2176"/>
      <c r="F51" s="2152"/>
      <c r="G51" s="2176"/>
      <c r="H51" s="2155"/>
      <c r="I51" s="2157"/>
      <c r="J51" s="2160"/>
      <c r="K51" s="2144"/>
      <c r="L51" s="1303"/>
      <c r="M51" s="1303"/>
      <c r="N51" s="1303"/>
      <c r="O51" s="1303"/>
      <c r="P51" s="1303"/>
      <c r="Q51" s="1303"/>
      <c r="R51" s="1303"/>
      <c r="S51" s="335"/>
      <c r="T51" s="335"/>
      <c r="U51" s="335"/>
      <c r="V51" s="335"/>
      <c r="W51" s="1304"/>
      <c r="Y51" s="1273"/>
      <c r="Z51" s="1273"/>
      <c r="AA51" s="1273"/>
      <c r="AB51" s="1273"/>
      <c r="AC51" s="1273"/>
      <c r="AD51" s="1273"/>
      <c r="AE51" s="1273"/>
      <c r="AF51" s="1273"/>
      <c r="AG51" s="1273"/>
      <c r="AH51" s="1273"/>
      <c r="AI51" s="1273"/>
      <c r="AJ51" s="1273"/>
      <c r="AK51" s="1273"/>
      <c r="AL51" s="1273"/>
      <c r="AM51" s="1273"/>
      <c r="AN51" s="1273"/>
      <c r="AO51" s="1273"/>
      <c r="AP51" s="1273"/>
      <c r="AQ51" s="1273"/>
      <c r="AR51" s="1332">
        <v>0</v>
      </c>
    </row>
    <row s="1859" customFormat="1" customHeight="1" ht="17.25" hidden="1">
      <c r="A52" s="327"/>
      <c r="C52" s="326"/>
      <c r="D52" s="2174"/>
      <c r="E52" s="2177"/>
      <c r="F52" s="2153"/>
      <c r="G52" s="2177"/>
      <c r="H52" s="1305"/>
      <c r="I52" s="1306"/>
      <c r="J52" s="1306"/>
      <c r="K52" s="1306"/>
      <c r="L52" s="1306"/>
      <c r="M52" s="1306"/>
      <c r="N52" s="1306"/>
      <c r="O52" s="1306"/>
      <c r="P52" s="1306"/>
      <c r="Q52" s="1306"/>
      <c r="R52" s="1306"/>
      <c r="S52" s="1307"/>
      <c r="T52" s="1307"/>
      <c r="U52" s="1307"/>
      <c r="V52" s="1307"/>
      <c r="W52" s="1308"/>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314">
        <v>0</v>
      </c>
    </row>
    <row s="1859" customFormat="1" customHeight="1" ht="17.25" hidden="1">
      <c r="A53" s="327"/>
      <c r="C53" s="215"/>
      <c r="D53" s="2141">
        <v>8</v>
      </c>
      <c r="E53" s="2149" t="s">
        <v>198</v>
      </c>
      <c r="F53" s="2151" t="s">
        <v>19</v>
      </c>
      <c r="G53" s="2149"/>
      <c r="H53" s="2154"/>
      <c r="I53" s="2156"/>
      <c r="J53" s="2158"/>
      <c r="K53" s="2143"/>
      <c r="L53" s="2143"/>
      <c r="M53" s="2143"/>
      <c r="N53" s="2145"/>
      <c r="O53" s="2143"/>
      <c r="P53" s="2143"/>
      <c r="Q53" s="2143"/>
      <c r="R53" s="2148"/>
      <c r="S53" s="2143"/>
      <c r="T53" s="1476"/>
      <c r="U53" s="1476"/>
      <c r="V53" s="1478"/>
      <c r="W53" s="1302"/>
      <c r="X53" s="1273"/>
      <c r="Y53" s="1273"/>
      <c r="Z53" s="1273"/>
      <c r="AA53" s="1273"/>
      <c r="AB53" s="1273"/>
      <c r="AC53" s="1273" t="s">
        <v>199</v>
      </c>
      <c r="AD53" s="1273" t="s">
        <v>200</v>
      </c>
      <c r="AE53" s="1273" t="s">
        <v>201</v>
      </c>
      <c r="AF53" s="1273" t="s">
        <v>202</v>
      </c>
      <c r="AG53" s="1273" t="s">
        <v>203</v>
      </c>
      <c r="AH53" s="1273" t="str">
        <f>IF($E$53=0,"",$E$53)</f>
        <v>Плата за подключение (технологическое присоединение) к системе теплоснабжения</v>
      </c>
      <c r="AI53" s="1273" t="str">
        <f>IF($G$53=0,"",$G$53)</f>
        <v/>
      </c>
      <c r="AJ53" s="1273" t="str">
        <f>IF($J$53=0,"",$J$53)</f>
        <v/>
      </c>
      <c r="AK53" s="1273" t="str">
        <f>IF($K$53="нет","без дифференциации",IF($N$53=0,"",$N$53))</f>
        <v/>
      </c>
      <c r="AL53" s="1273" t="str">
        <f>IF($O$53="нет","без дифференциации",IF($R$53=0,"",$R$53))</f>
        <v/>
      </c>
      <c r="AM53" s="1273" t="str">
        <f>IF($S$53="нет","без дифференциации",IF($V$53=0,"",$V$53))</f>
        <v/>
      </c>
      <c r="AN53" s="1778">
        <f>$I$53</f>
        <v>0</v>
      </c>
      <c r="AO53" s="1273" t="str">
        <f>$I$53&amp;"."&amp;$M$53</f>
        <v>.</v>
      </c>
      <c r="AP53" s="1265" t="str">
        <f>$I$53&amp;"."&amp;$M$53&amp;"."&amp;$Q$53</f>
        <v>..</v>
      </c>
      <c r="AQ53" s="1265" t="str">
        <f>$I$53&amp;"."&amp;$M$53&amp;"."&amp;$Q$53&amp;"."&amp;$U$53</f>
        <v>...</v>
      </c>
      <c r="AR53" s="1314">
        <v>0</v>
      </c>
    </row>
    <row s="1859" customFormat="1" customHeight="1" ht="17.25" hidden="1">
      <c r="A54" s="327"/>
      <c r="C54" s="326"/>
      <c r="D54" s="2141"/>
      <c r="E54" s="2149"/>
      <c r="F54" s="2152"/>
      <c r="G54" s="2149"/>
      <c r="H54" s="2155"/>
      <c r="I54" s="2157"/>
      <c r="J54" s="2159"/>
      <c r="K54" s="2144"/>
      <c r="L54" s="2144"/>
      <c r="M54" s="2144"/>
      <c r="N54" s="2146"/>
      <c r="O54" s="2144"/>
      <c r="P54" s="2144"/>
      <c r="Q54" s="2144"/>
      <c r="R54" s="2147"/>
      <c r="S54" s="2144"/>
      <c r="T54" s="1303"/>
      <c r="U54" s="1303"/>
      <c r="V54" s="1303"/>
      <c r="W54" s="1304"/>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314">
        <v>0</v>
      </c>
    </row>
    <row s="1859" customFormat="1" customHeight="1" ht="17.25" hidden="1">
      <c r="A55" s="327"/>
      <c r="C55" s="326"/>
      <c r="D55" s="2142"/>
      <c r="E55" s="2150"/>
      <c r="F55" s="2152"/>
      <c r="G55" s="2150"/>
      <c r="H55" s="2155"/>
      <c r="I55" s="2157"/>
      <c r="J55" s="2160"/>
      <c r="K55" s="2144"/>
      <c r="L55" s="2144"/>
      <c r="M55" s="2144"/>
      <c r="N55" s="2147"/>
      <c r="O55" s="2144"/>
      <c r="P55" s="1477"/>
      <c r="Q55" s="1303"/>
      <c r="R55" s="1303"/>
      <c r="S55" s="335"/>
      <c r="T55" s="335"/>
      <c r="U55" s="335"/>
      <c r="V55" s="335"/>
      <c r="W55" s="1304"/>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314">
        <v>0</v>
      </c>
    </row>
    <row s="1859" customFormat="1" customHeight="1" ht="17.25" hidden="1">
      <c r="A56" s="327"/>
      <c r="C56" s="215"/>
      <c r="D56" s="2142"/>
      <c r="E56" s="2150"/>
      <c r="F56" s="2152"/>
      <c r="G56" s="2150"/>
      <c r="H56" s="2155"/>
      <c r="I56" s="2157"/>
      <c r="J56" s="2160"/>
      <c r="K56" s="2144"/>
      <c r="L56" s="1303"/>
      <c r="M56" s="1303"/>
      <c r="N56" s="1303"/>
      <c r="O56" s="1303"/>
      <c r="P56" s="1303"/>
      <c r="Q56" s="1303"/>
      <c r="R56" s="1303"/>
      <c r="S56" s="335"/>
      <c r="T56" s="335"/>
      <c r="U56" s="335"/>
      <c r="V56" s="335"/>
      <c r="W56" s="1304"/>
      <c r="Y56" s="1273"/>
      <c r="Z56" s="1273"/>
      <c r="AA56" s="1273"/>
      <c r="AB56" s="1273"/>
      <c r="AC56" s="1273"/>
      <c r="AD56" s="1273"/>
      <c r="AE56" s="1273"/>
      <c r="AF56" s="1273"/>
      <c r="AG56" s="1273"/>
      <c r="AH56" s="1273"/>
      <c r="AI56" s="1273"/>
      <c r="AJ56" s="1273"/>
      <c r="AK56" s="1273"/>
      <c r="AL56" s="1273"/>
      <c r="AM56" s="1273"/>
      <c r="AN56" s="1273"/>
      <c r="AO56" s="1273"/>
      <c r="AP56" s="1273"/>
      <c r="AQ56" s="1273"/>
      <c r="AR56" s="1332">
        <v>0</v>
      </c>
    </row>
    <row s="1859" customFormat="1" customHeight="1" ht="17.25" hidden="1">
      <c r="A57" s="327"/>
      <c r="C57" s="326"/>
      <c r="D57" s="2142"/>
      <c r="E57" s="2150"/>
      <c r="F57" s="2153"/>
      <c r="G57" s="2150"/>
      <c r="H57" s="1305"/>
      <c r="I57" s="1306"/>
      <c r="J57" s="1306"/>
      <c r="K57" s="1306"/>
      <c r="L57" s="1306"/>
      <c r="M57" s="1306"/>
      <c r="N57" s="1306"/>
      <c r="O57" s="1306"/>
      <c r="P57" s="1306"/>
      <c r="Q57" s="1306"/>
      <c r="R57" s="1306"/>
      <c r="S57" s="1307"/>
      <c r="T57" s="1307"/>
      <c r="U57" s="1307"/>
      <c r="V57" s="1307"/>
      <c r="W57" s="1308"/>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314">
        <v>0</v>
      </c>
    </row>
    <row s="1859" customFormat="1" customHeight="1" ht="17.25" hidden="1">
      <c r="A58" s="327"/>
      <c r="C58" s="215"/>
      <c r="D58" s="2141">
        <v>9</v>
      </c>
      <c r="E58" s="2149" t="s">
        <v>204</v>
      </c>
      <c r="F58" s="2151" t="s">
        <v>19</v>
      </c>
      <c r="G58" s="2149"/>
      <c r="H58" s="2154"/>
      <c r="I58" s="2156"/>
      <c r="J58" s="2158"/>
      <c r="K58" s="2143"/>
      <c r="L58" s="2143"/>
      <c r="M58" s="2143"/>
      <c r="N58" s="2145"/>
      <c r="O58" s="2143"/>
      <c r="P58" s="2143"/>
      <c r="Q58" s="2143"/>
      <c r="R58" s="2148"/>
      <c r="S58" s="2143"/>
      <c r="T58" s="1937"/>
      <c r="U58" s="1937"/>
      <c r="V58" s="1939"/>
      <c r="W58" s="1302"/>
      <c r="X58" s="1273"/>
      <c r="Y58" s="1273"/>
      <c r="Z58" s="1273"/>
      <c r="AA58" s="1273"/>
      <c r="AB58" s="1273"/>
      <c r="AC58" s="1273" t="s">
        <v>205</v>
      </c>
      <c r="AD58" s="1273" t="s">
        <v>206</v>
      </c>
      <c r="AE58" s="1273" t="s">
        <v>207</v>
      </c>
      <c r="AF58" s="1273" t="s">
        <v>208</v>
      </c>
      <c r="AG58" s="1273" t="s">
        <v>209</v>
      </c>
      <c r="AH58" s="1273" t="str">
        <f>IF($E$58=0,"",$E$58)</f>
        <v>Плата за подключение (технологическое присоединение) к системе теплоснабжения (индивидуальная)</v>
      </c>
      <c r="AI58" s="1273" t="str">
        <f>IF($G$58=0,"",$G$58)</f>
        <v/>
      </c>
      <c r="AJ58" s="1273" t="str">
        <f>IF($J$58=0,"",$J$58)</f>
        <v/>
      </c>
      <c r="AK58" s="1273" t="str">
        <f>IF($K$58="нет","без дифференциации",IF($N$58=0,"",$N$58))</f>
        <v/>
      </c>
      <c r="AL58" s="1273" t="str">
        <f>IF($O$58="нет","без дифференциации",IF($R$58=0,"",$R$58))</f>
        <v/>
      </c>
      <c r="AM58" s="1273" t="str">
        <f>IF($S$58="нет","без дифференциации",IF($V$58=0,"",$V$58))</f>
        <v/>
      </c>
      <c r="AN58" s="1778">
        <f>$I$58</f>
        <v>0</v>
      </c>
      <c r="AO58" s="1273" t="str">
        <f>$I$58&amp;"."&amp;$M$58</f>
        <v>.</v>
      </c>
      <c r="AP58" s="1272" t="str">
        <f>$I$58&amp;"."&amp;$M$58&amp;"."&amp;$Q$58</f>
        <v>..</v>
      </c>
      <c r="AQ58" s="1272" t="str">
        <f>$I$58&amp;"."&amp;$M$58&amp;"."&amp;$Q$58&amp;"."&amp;$U$58</f>
        <v>...</v>
      </c>
      <c r="AR58" s="1473">
        <v>0</v>
      </c>
    </row>
    <row s="1859" customFormat="1" customHeight="1" ht="17.25" hidden="1">
      <c r="A59" s="327"/>
      <c r="C59" s="326"/>
      <c r="D59" s="2141"/>
      <c r="E59" s="2149"/>
      <c r="F59" s="2152"/>
      <c r="G59" s="2149"/>
      <c r="H59" s="2155"/>
      <c r="I59" s="2157"/>
      <c r="J59" s="2159"/>
      <c r="K59" s="2144"/>
      <c r="L59" s="2144"/>
      <c r="M59" s="2144"/>
      <c r="N59" s="2146"/>
      <c r="O59" s="2144"/>
      <c r="P59" s="2144"/>
      <c r="Q59" s="2144"/>
      <c r="R59" s="2147"/>
      <c r="S59" s="2144"/>
      <c r="T59" s="1940"/>
      <c r="U59" s="1940"/>
      <c r="V59" s="1940"/>
      <c r="W59" s="1941"/>
      <c r="X59" s="1272"/>
      <c r="Y59" s="1272"/>
      <c r="Z59" s="1272"/>
      <c r="AA59" s="1272"/>
      <c r="AB59" s="1272"/>
      <c r="AC59" s="1272"/>
      <c r="AD59" s="1272"/>
      <c r="AE59" s="1272"/>
      <c r="AF59" s="1272"/>
      <c r="AG59" s="1272"/>
      <c r="AH59" s="1272"/>
      <c r="AI59" s="1272"/>
      <c r="AJ59" s="1272"/>
      <c r="AK59" s="1272"/>
      <c r="AL59" s="1272"/>
      <c r="AM59" s="1272"/>
      <c r="AN59" s="1272"/>
      <c r="AO59" s="1272"/>
      <c r="AP59" s="1272"/>
      <c r="AQ59" s="1272"/>
      <c r="AR59" s="1473">
        <v>0</v>
      </c>
    </row>
    <row s="1859" customFormat="1" customHeight="1" ht="17.25" hidden="1">
      <c r="A60" s="327"/>
      <c r="C60" s="326"/>
      <c r="D60" s="2142"/>
      <c r="E60" s="2150"/>
      <c r="F60" s="2152"/>
      <c r="G60" s="2150"/>
      <c r="H60" s="2155"/>
      <c r="I60" s="2157"/>
      <c r="J60" s="2160"/>
      <c r="K60" s="2144"/>
      <c r="L60" s="2144"/>
      <c r="M60" s="2144"/>
      <c r="N60" s="2147"/>
      <c r="O60" s="2144"/>
      <c r="P60" s="1938"/>
      <c r="Q60" s="1940"/>
      <c r="R60" s="1940"/>
      <c r="S60" s="335"/>
      <c r="T60" s="335"/>
      <c r="U60" s="335"/>
      <c r="V60" s="335"/>
      <c r="W60" s="1941"/>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473">
        <v>0</v>
      </c>
    </row>
    <row s="1859" customFormat="1" customHeight="1" ht="17.25" hidden="1">
      <c r="A61" s="327"/>
      <c r="C61" s="215"/>
      <c r="D61" s="2142"/>
      <c r="E61" s="2150"/>
      <c r="F61" s="2152"/>
      <c r="G61" s="2150"/>
      <c r="H61" s="2155"/>
      <c r="I61" s="2157"/>
      <c r="J61" s="2160"/>
      <c r="K61" s="2144"/>
      <c r="L61" s="1940"/>
      <c r="M61" s="1940"/>
      <c r="N61" s="1940"/>
      <c r="O61" s="1940"/>
      <c r="P61" s="1940"/>
      <c r="Q61" s="1940"/>
      <c r="R61" s="1940"/>
      <c r="S61" s="335"/>
      <c r="T61" s="335"/>
      <c r="U61" s="335"/>
      <c r="V61" s="335"/>
      <c r="W61" s="1941"/>
      <c r="Y61" s="1273"/>
      <c r="Z61" s="1273"/>
      <c r="AA61" s="1273"/>
      <c r="AB61" s="1273"/>
      <c r="AC61" s="1273"/>
      <c r="AD61" s="1273"/>
      <c r="AE61" s="1273"/>
      <c r="AF61" s="1273"/>
      <c r="AG61" s="1273"/>
      <c r="AH61" s="1273"/>
      <c r="AI61" s="1273"/>
      <c r="AJ61" s="1273"/>
      <c r="AK61" s="1273"/>
      <c r="AL61" s="1273"/>
      <c r="AM61" s="1273"/>
      <c r="AN61" s="1273"/>
      <c r="AO61" s="1273"/>
      <c r="AP61" s="1273"/>
      <c r="AQ61" s="1273"/>
      <c r="AR61" s="1473">
        <v>0</v>
      </c>
    </row>
    <row s="1859" customFormat="1" customHeight="1" ht="17.25" hidden="1">
      <c r="A62" s="327"/>
      <c r="C62" s="326"/>
      <c r="D62" s="2142"/>
      <c r="E62" s="2150"/>
      <c r="F62" s="2153"/>
      <c r="G62" s="2150"/>
      <c r="H62" s="1305"/>
      <c r="I62" s="1942"/>
      <c r="J62" s="1942"/>
      <c r="K62" s="1942"/>
      <c r="L62" s="1942"/>
      <c r="M62" s="1942"/>
      <c r="N62" s="1942"/>
      <c r="O62" s="1942"/>
      <c r="P62" s="1942"/>
      <c r="Q62" s="1942"/>
      <c r="R62" s="1942"/>
      <c r="S62" s="1307"/>
      <c r="T62" s="1307"/>
      <c r="U62" s="1307"/>
      <c r="V62" s="1307"/>
      <c r="W62" s="1943"/>
      <c r="X62" s="1272"/>
      <c r="Y62" s="1272"/>
      <c r="Z62" s="1272"/>
      <c r="AA62" s="1272"/>
      <c r="AB62" s="1272"/>
      <c r="AC62" s="1272"/>
      <c r="AD62" s="1272"/>
      <c r="AE62" s="1272"/>
      <c r="AF62" s="1272"/>
      <c r="AG62" s="1272"/>
      <c r="AH62" s="1272"/>
      <c r="AI62" s="1272"/>
      <c r="AJ62" s="1272"/>
      <c r="AK62" s="1272"/>
      <c r="AL62" s="1272"/>
      <c r="AM62" s="1272"/>
      <c r="AN62" s="1272"/>
      <c r="AO62" s="1272"/>
      <c r="AP62" s="1272"/>
      <c r="AQ62" s="1272"/>
      <c r="AR62" s="1473">
        <v>0</v>
      </c>
    </row>
    <row s="1859" customFormat="1" customHeight="1" ht="17.25" hidden="1">
      <c r="A63" s="327"/>
      <c r="C63" s="215"/>
      <c r="D63" s="2141">
        <v>10</v>
      </c>
      <c r="E63" s="2149" t="s">
        <v>210</v>
      </c>
      <c r="F63" s="2151" t="s">
        <v>19</v>
      </c>
      <c r="G63" s="2149"/>
      <c r="H63" s="2154"/>
      <c r="I63" s="2156"/>
      <c r="J63" s="2158"/>
      <c r="K63" s="2143"/>
      <c r="L63" s="2143"/>
      <c r="M63" s="2143"/>
      <c r="N63" s="2145"/>
      <c r="O63" s="2143"/>
      <c r="P63" s="2143"/>
      <c r="Q63" s="2143"/>
      <c r="R63" s="2148"/>
      <c r="S63" s="2143"/>
      <c r="T63" s="1937"/>
      <c r="U63" s="1937"/>
      <c r="V63" s="1939"/>
      <c r="W63" s="1302"/>
      <c r="X63" s="1273"/>
      <c r="Y63" s="1273"/>
      <c r="Z63" s="1273"/>
      <c r="AA63" s="1273"/>
      <c r="AB63" s="1273"/>
      <c r="AC63" s="1273" t="s">
        <v>211</v>
      </c>
      <c r="AD63" s="1273" t="s">
        <v>212</v>
      </c>
      <c r="AE63" s="1273" t="s">
        <v>213</v>
      </c>
      <c r="AF63" s="1273" t="s">
        <v>214</v>
      </c>
      <c r="AG63" s="1273" t="s">
        <v>215</v>
      </c>
      <c r="AH63" s="1273" t="str">
        <f>IF($E$63=0,"",$E$63)</f>
        <v>Предельный уровень цены на тепловую энергию (мощность), поставляемую теплоснабжающими организациями потребителям</v>
      </c>
      <c r="AI63" s="1273" t="str">
        <f>IF($G$63=0,"",$G$63)</f>
        <v/>
      </c>
      <c r="AJ63" s="1273" t="str">
        <f>IF($J$63=0,"",$J$63)</f>
        <v/>
      </c>
      <c r="AK63" s="1273" t="str">
        <f>IF($K$63="нет","без дифференциации",IF($N$63=0,"",$N$63))</f>
        <v/>
      </c>
      <c r="AL63" s="1273" t="str">
        <f>IF($O$63="нет","без дифференциации",IF($R$63=0,"",$R$63))</f>
        <v/>
      </c>
      <c r="AM63" s="1273" t="str">
        <f>IF($S$63="нет","без дифференциации",IF($V$63=0,"",$V$63))</f>
        <v/>
      </c>
      <c r="AN63" s="1778">
        <f>$I$63</f>
        <v>0</v>
      </c>
      <c r="AO63" s="1273" t="str">
        <f>$I$63&amp;"."&amp;$M$63</f>
        <v>.</v>
      </c>
      <c r="AP63" s="1272" t="str">
        <f>$I$63&amp;"."&amp;$M$63&amp;"."&amp;$Q$63</f>
        <v>..</v>
      </c>
      <c r="AQ63" s="1272" t="str">
        <f>$I$63&amp;"."&amp;$M$63&amp;"."&amp;$Q$63&amp;"."&amp;$U$63</f>
        <v>...</v>
      </c>
      <c r="AR63" s="1473">
        <v>0</v>
      </c>
    </row>
    <row s="1859" customFormat="1" customHeight="1" ht="17.25" hidden="1">
      <c r="A64" s="327"/>
      <c r="C64" s="326"/>
      <c r="D64" s="2141"/>
      <c r="E64" s="2149"/>
      <c r="F64" s="2152"/>
      <c r="G64" s="2149"/>
      <c r="H64" s="2155"/>
      <c r="I64" s="2157"/>
      <c r="J64" s="2159"/>
      <c r="K64" s="2144"/>
      <c r="L64" s="2144"/>
      <c r="M64" s="2144"/>
      <c r="N64" s="2146"/>
      <c r="O64" s="2144"/>
      <c r="P64" s="2144"/>
      <c r="Q64" s="2144"/>
      <c r="R64" s="2147"/>
      <c r="S64" s="2144"/>
      <c r="T64" s="1940"/>
      <c r="U64" s="1940"/>
      <c r="V64" s="1940"/>
      <c r="W64" s="1941"/>
      <c r="X64" s="1272"/>
      <c r="Y64" s="1272"/>
      <c r="Z64" s="1272"/>
      <c r="AA64" s="1272"/>
      <c r="AB64" s="1272"/>
      <c r="AC64" s="1272"/>
      <c r="AD64" s="1272"/>
      <c r="AE64" s="1272"/>
      <c r="AF64" s="1272"/>
      <c r="AG64" s="1272"/>
      <c r="AH64" s="1272"/>
      <c r="AI64" s="1272"/>
      <c r="AJ64" s="1272"/>
      <c r="AK64" s="1272"/>
      <c r="AL64" s="1272"/>
      <c r="AM64" s="1272"/>
      <c r="AN64" s="1272"/>
      <c r="AO64" s="1272"/>
      <c r="AP64" s="1272"/>
      <c r="AQ64" s="1272"/>
      <c r="AR64" s="1473">
        <v>0</v>
      </c>
    </row>
    <row s="1859" customFormat="1" customHeight="1" ht="17.25" hidden="1">
      <c r="A65" s="327"/>
      <c r="C65" s="326"/>
      <c r="D65" s="2142"/>
      <c r="E65" s="2150"/>
      <c r="F65" s="2152"/>
      <c r="G65" s="2150"/>
      <c r="H65" s="2155"/>
      <c r="I65" s="2157"/>
      <c r="J65" s="2160"/>
      <c r="K65" s="2144"/>
      <c r="L65" s="2144"/>
      <c r="M65" s="2144"/>
      <c r="N65" s="2147"/>
      <c r="O65" s="2144"/>
      <c r="P65" s="1938"/>
      <c r="Q65" s="1940"/>
      <c r="R65" s="1940"/>
      <c r="S65" s="335"/>
      <c r="T65" s="335"/>
      <c r="U65" s="335"/>
      <c r="V65" s="335"/>
      <c r="W65" s="1941"/>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473">
        <v>0</v>
      </c>
    </row>
    <row s="1859" customFormat="1" customHeight="1" ht="17.25" hidden="1">
      <c r="A66" s="327"/>
      <c r="C66" s="215"/>
      <c r="D66" s="2142"/>
      <c r="E66" s="2150"/>
      <c r="F66" s="2152"/>
      <c r="G66" s="2150"/>
      <c r="H66" s="2155"/>
      <c r="I66" s="2157"/>
      <c r="J66" s="2160"/>
      <c r="K66" s="2144"/>
      <c r="L66" s="1940"/>
      <c r="M66" s="1940"/>
      <c r="N66" s="1940"/>
      <c r="O66" s="1940"/>
      <c r="P66" s="1940"/>
      <c r="Q66" s="1940"/>
      <c r="R66" s="1940"/>
      <c r="S66" s="335"/>
      <c r="T66" s="335"/>
      <c r="U66" s="335"/>
      <c r="V66" s="335"/>
      <c r="W66" s="1941"/>
      <c r="Y66" s="1273"/>
      <c r="Z66" s="1273"/>
      <c r="AA66" s="1273"/>
      <c r="AB66" s="1273"/>
      <c r="AC66" s="1273"/>
      <c r="AD66" s="1273"/>
      <c r="AE66" s="1273"/>
      <c r="AF66" s="1273"/>
      <c r="AG66" s="1273"/>
      <c r="AH66" s="1273"/>
      <c r="AI66" s="1273"/>
      <c r="AJ66" s="1273"/>
      <c r="AK66" s="1273"/>
      <c r="AL66" s="1273"/>
      <c r="AM66" s="1273"/>
      <c r="AN66" s="1273"/>
      <c r="AO66" s="1273"/>
      <c r="AP66" s="1273"/>
      <c r="AQ66" s="1273"/>
      <c r="AR66" s="1473">
        <v>0</v>
      </c>
    </row>
    <row s="1859" customFormat="1" customHeight="1" ht="17.25" hidden="1">
      <c r="A67" s="327"/>
      <c r="C67" s="326"/>
      <c r="D67" s="2142"/>
      <c r="E67" s="2150"/>
      <c r="F67" s="2153"/>
      <c r="G67" s="2150"/>
      <c r="H67" s="1305"/>
      <c r="I67" s="1942"/>
      <c r="J67" s="1942"/>
      <c r="K67" s="1942"/>
      <c r="L67" s="1942"/>
      <c r="M67" s="1942"/>
      <c r="N67" s="1942"/>
      <c r="O67" s="1942"/>
      <c r="P67" s="1942"/>
      <c r="Q67" s="1942"/>
      <c r="R67" s="1942"/>
      <c r="S67" s="1307"/>
      <c r="T67" s="1307"/>
      <c r="U67" s="1307"/>
      <c r="V67" s="1307"/>
      <c r="W67" s="1943"/>
      <c r="X67" s="1272"/>
      <c r="Y67" s="1272"/>
      <c r="Z67" s="1272"/>
      <c r="AA67" s="1272"/>
      <c r="AB67" s="1272"/>
      <c r="AC67" s="1272"/>
      <c r="AD67" s="1272"/>
      <c r="AE67" s="1272"/>
      <c r="AF67" s="1272"/>
      <c r="AG67" s="1272"/>
      <c r="AH67" s="1272"/>
      <c r="AI67" s="1272"/>
      <c r="AJ67" s="1272"/>
      <c r="AK67" s="1272"/>
      <c r="AL67" s="1272"/>
      <c r="AM67" s="1272"/>
      <c r="AN67" s="1272"/>
      <c r="AO67" s="1272"/>
      <c r="AP67" s="1272"/>
      <c r="AQ67" s="1272"/>
      <c r="AR67" s="1473">
        <v>0</v>
      </c>
    </row>
    <row customHeight="1" ht="11.25" hidden="1">
      <c r="AR68" s="110">
        <v>0</v>
      </c>
    </row>
    <row customHeight="1" ht="11.25" hidden="1">
      <c r="E69" s="2180" t="s">
        <v>216</v>
      </c>
      <c r="F69" s="2180"/>
      <c r="G69" s="2180"/>
      <c r="H69" s="2180"/>
      <c r="I69" s="2180"/>
      <c r="J69" s="2180"/>
      <c r="K69" s="2180"/>
      <c r="L69" s="2180"/>
      <c r="M69" s="2180"/>
      <c r="N69" s="2180"/>
      <c r="O69" s="2180"/>
      <c r="P69" s="2180"/>
      <c r="Q69" s="2180"/>
      <c r="R69" s="2180"/>
      <c r="S69" s="2180"/>
      <c r="T69" s="2180"/>
      <c r="U69" s="2180"/>
      <c r="V69" s="2180"/>
      <c r="W69" s="2180"/>
      <c r="AR69" s="110">
        <v>0</v>
      </c>
    </row>
    <row customHeight="1" ht="36.75" hidden="1">
      <c r="E70" s="2178" t="s">
        <v>217</v>
      </c>
      <c r="F70" s="2178"/>
      <c r="G70" s="2179"/>
      <c r="H70" s="2179"/>
      <c r="I70" s="2179"/>
      <c r="J70" s="2179"/>
      <c r="K70" s="2179"/>
      <c r="L70" s="2179"/>
      <c r="M70" s="2179"/>
      <c r="N70" s="2179"/>
      <c r="O70" s="2179"/>
      <c r="P70" s="2179"/>
      <c r="Q70" s="2179"/>
      <c r="R70" s="2179"/>
      <c r="S70" s="2179"/>
      <c r="T70" s="2179"/>
      <c r="U70" s="2179"/>
      <c r="V70" s="2179"/>
      <c r="W70" s="2179"/>
      <c r="AR70" s="110">
        <v>0</v>
      </c>
    </row>
    <row customHeight="1" ht="28.5" hidden="1">
      <c r="E71" s="2178" t="s">
        <v>218</v>
      </c>
      <c r="F71" s="2178"/>
      <c r="G71" s="2179"/>
      <c r="H71" s="2179"/>
      <c r="I71" s="2179"/>
      <c r="J71" s="2179"/>
      <c r="K71" s="2179"/>
      <c r="L71" s="2179"/>
      <c r="M71" s="2179"/>
      <c r="N71" s="2179"/>
      <c r="O71" s="2179"/>
      <c r="P71" s="2179"/>
      <c r="Q71" s="2179"/>
      <c r="R71" s="2179"/>
      <c r="S71" s="2179"/>
      <c r="T71" s="2179"/>
      <c r="U71" s="2179"/>
      <c r="V71" s="2179"/>
      <c r="W71" s="2179"/>
      <c r="AR71" s="110">
        <v>0</v>
      </c>
    </row>
    <row customHeight="1" ht="27" hidden="1">
      <c r="E72" s="2178" t="s">
        <v>219</v>
      </c>
      <c r="F72" s="2178"/>
      <c r="G72" s="2179"/>
      <c r="H72" s="2179"/>
      <c r="I72" s="2179"/>
      <c r="J72" s="2179"/>
      <c r="K72" s="2179"/>
      <c r="L72" s="2179"/>
      <c r="M72" s="2179"/>
      <c r="N72" s="2179"/>
      <c r="O72" s="2179"/>
      <c r="P72" s="2179"/>
      <c r="Q72" s="2179"/>
      <c r="R72" s="2179"/>
      <c r="S72" s="2179"/>
      <c r="T72" s="2179"/>
      <c r="U72" s="2179"/>
      <c r="V72" s="2179"/>
      <c r="W72" s="2179"/>
      <c r="AR72" s="110">
        <v>0</v>
      </c>
    </row>
    <row customHeight="1" ht="17.25" hidden="1">
      <c r="E73" s="2178" t="s">
        <v>220</v>
      </c>
      <c r="F73" s="2178"/>
      <c r="G73" s="2179"/>
      <c r="H73" s="2179"/>
      <c r="I73" s="2179"/>
      <c r="J73" s="2179"/>
      <c r="K73" s="2179"/>
      <c r="L73" s="2179"/>
      <c r="M73" s="2179"/>
      <c r="N73" s="2179"/>
      <c r="O73" s="2179"/>
      <c r="P73" s="2179"/>
      <c r="Q73" s="2179"/>
      <c r="R73" s="2179"/>
      <c r="S73" s="2179"/>
      <c r="T73" s="2179"/>
      <c r="U73" s="2179"/>
      <c r="V73" s="2179"/>
      <c r="W73" s="2179"/>
      <c r="AR73" s="110">
        <v>0</v>
      </c>
    </row>
    <row customHeight="1" ht="15" hidden="1">
      <c r="E74" s="346"/>
      <c r="F74" s="1291"/>
      <c r="G74" s="163"/>
      <c r="H74" s="163"/>
      <c r="I74" s="163"/>
      <c r="J74" s="163"/>
      <c r="K74" s="163"/>
      <c r="L74" s="163"/>
      <c r="M74" s="163"/>
      <c r="N74" s="163"/>
      <c r="O74" s="163"/>
      <c r="P74" s="163"/>
      <c r="Q74" s="163"/>
      <c r="R74" s="163"/>
      <c r="S74" s="163"/>
      <c r="T74" s="163"/>
      <c r="U74" s="163"/>
      <c r="V74" s="163"/>
      <c r="W74" s="163"/>
      <c r="AR74" s="110">
        <v>0</v>
      </c>
    </row>
    <row customHeight="1" ht="15" hidden="1">
      <c r="E75" s="2180" t="s">
        <v>221</v>
      </c>
      <c r="F75" s="2180"/>
      <c r="G75" s="2180"/>
      <c r="H75" s="2180"/>
      <c r="I75" s="2180"/>
      <c r="J75" s="2180"/>
      <c r="K75" s="2180"/>
      <c r="L75" s="2180"/>
      <c r="M75" s="2180"/>
      <c r="N75" s="2180"/>
      <c r="O75" s="2180"/>
      <c r="P75" s="2180"/>
      <c r="Q75" s="2180"/>
      <c r="R75" s="2180"/>
      <c r="S75" s="2180"/>
      <c r="T75" s="2180"/>
      <c r="U75" s="2180"/>
      <c r="V75" s="2180"/>
      <c r="W75" s="2180"/>
      <c r="AR75" s="110">
        <v>0</v>
      </c>
    </row>
    <row customHeight="1" ht="17.25" hidden="1">
      <c r="E76" s="2178" t="s">
        <v>222</v>
      </c>
      <c r="F76" s="2178"/>
      <c r="G76" s="2179"/>
      <c r="H76" s="2179"/>
      <c r="I76" s="2179"/>
      <c r="J76" s="2179"/>
      <c r="K76" s="2179"/>
      <c r="L76" s="2179"/>
      <c r="M76" s="2179"/>
      <c r="N76" s="2179"/>
      <c r="O76" s="2179"/>
      <c r="P76" s="2179"/>
      <c r="Q76" s="2179"/>
      <c r="R76" s="2179"/>
      <c r="S76" s="2179"/>
      <c r="T76" s="2179"/>
      <c r="U76" s="2179"/>
      <c r="V76" s="2179"/>
      <c r="W76" s="2179"/>
      <c r="AR76" s="110">
        <v>0</v>
      </c>
    </row>
    <row customHeight="1" ht="17.25" hidden="1">
      <c r="E77" s="2178" t="s">
        <v>223</v>
      </c>
      <c r="F77" s="2178"/>
      <c r="G77" s="2179"/>
      <c r="H77" s="2179"/>
      <c r="I77" s="2179"/>
      <c r="J77" s="2179"/>
      <c r="K77" s="2179"/>
      <c r="L77" s="2179"/>
      <c r="M77" s="2179"/>
      <c r="N77" s="2179"/>
      <c r="O77" s="2179"/>
      <c r="P77" s="2179"/>
      <c r="Q77" s="2179"/>
      <c r="R77" s="2179"/>
      <c r="S77" s="2179"/>
      <c r="T77" s="2179"/>
      <c r="U77" s="2179"/>
      <c r="V77" s="2179"/>
      <c r="W77" s="2179"/>
      <c r="AR77" s="110">
        <v>0</v>
      </c>
    </row>
    <row s="1859" customFormat="1" customHeight="1" ht="11.25" hidden="1">
      <c r="A78" s="283"/>
      <c r="B78" s="283"/>
      <c r="Y78" s="1265"/>
      <c r="Z78" s="1265"/>
      <c r="AA78" s="1265"/>
      <c r="AB78" s="1265"/>
      <c r="AC78" s="1265"/>
      <c r="AD78" s="1265"/>
      <c r="AE78" s="1265"/>
      <c r="AF78" s="1265"/>
      <c r="AG78" s="1265"/>
      <c r="AH78" s="1265"/>
      <c r="AI78" s="1265"/>
      <c r="AJ78" s="1265"/>
      <c r="AK78" s="1265"/>
      <c r="AL78" s="1265"/>
      <c r="AM78" s="1265"/>
      <c r="AN78" s="1265"/>
      <c r="AO78" s="1265"/>
      <c r="AP78" s="1265"/>
      <c r="AQ78" s="1265"/>
      <c r="AR78" s="1356">
        <v>0</v>
      </c>
    </row>
    <row s="1859" customFormat="1" customHeight="1" ht="17.25">
      <c r="A79" s="327"/>
      <c r="C79" s="215"/>
      <c r="D79" s="2141">
        <v>1</v>
      </c>
      <c r="E79" s="2149" t="s">
        <v>224</v>
      </c>
      <c r="F79" s="2151" t="s">
        <v>19</v>
      </c>
      <c r="G79" s="2149"/>
      <c r="H79" s="2154"/>
      <c r="I79" s="2156"/>
      <c r="J79" s="2158"/>
      <c r="K79" s="2143"/>
      <c r="L79" s="2143"/>
      <c r="M79" s="2143"/>
      <c r="N79" s="2145"/>
      <c r="O79" s="2143"/>
      <c r="P79" s="2143"/>
      <c r="Q79" s="2143"/>
      <c r="R79" s="2148"/>
      <c r="S79" s="2143"/>
      <c r="T79" s="1476"/>
      <c r="U79" s="1476"/>
      <c r="V79" s="1478"/>
      <c r="W79" s="1302"/>
      <c r="Y79" s="1273"/>
      <c r="Z79" s="1273"/>
      <c r="AA79" s="1273"/>
      <c r="AB79" s="1273"/>
      <c r="AC79" s="1273" t="s">
        <v>225</v>
      </c>
      <c r="AD79" s="1273" t="s">
        <v>226</v>
      </c>
      <c r="AE79" s="1273" t="s">
        <v>227</v>
      </c>
      <c r="AF79" s="1273" t="s">
        <v>228</v>
      </c>
      <c r="AG79" s="1273"/>
      <c r="AH79" s="1273" t="str">
        <f>IF($E$79=0,"",$E$79)</f>
        <v>Тариф на питьевую воду (питьевое водоснабжение)</v>
      </c>
      <c r="AI79" s="1273" t="str">
        <f>IF($G$79=0,"",$G$79)</f>
        <v/>
      </c>
      <c r="AJ79" s="1273" t="str">
        <f>IF($J$79=0,"",$J$79)</f>
        <v/>
      </c>
      <c r="AK79" s="1273" t="str">
        <f>IF($K$79="нет","без дифференциации",IF($N$79=0,"",$N$79))</f>
        <v/>
      </c>
      <c r="AL79" s="1273" t="str">
        <f>IF($O$79="нет","без дифференциации",IF($R$79=0,"",$R$79))</f>
        <v/>
      </c>
      <c r="AM79" s="1273" t="str">
        <f>IF($S$79="нет","без дифференциации",IF($V$79=0,"",$V$79))</f>
        <v/>
      </c>
      <c r="AN79" s="1273">
        <f>$I$79</f>
        <v>0</v>
      </c>
      <c r="AO79" s="1273" t="str">
        <f>$I$79&amp;"."&amp;$M$79</f>
        <v>.</v>
      </c>
      <c r="AP79" s="1273" t="str">
        <f>$I$79&amp;"."&amp;$M$79&amp;"."&amp;$Q$79</f>
        <v>..</v>
      </c>
      <c r="AQ79" s="1273" t="str">
        <f>$I$79&amp;"."&amp;$M$79&amp;"."&amp;$Q$79&amp;"."&amp;$U$79</f>
        <v>...</v>
      </c>
      <c r="AR79" s="1356">
        <v>0</v>
      </c>
    </row>
    <row s="1859" customFormat="1" customHeight="1" ht="17.25">
      <c r="A80" s="327"/>
      <c r="C80" s="326"/>
      <c r="D80" s="2141"/>
      <c r="E80" s="2149"/>
      <c r="F80" s="2152"/>
      <c r="G80" s="2149"/>
      <c r="H80" s="2155"/>
      <c r="I80" s="2157"/>
      <c r="J80" s="2159"/>
      <c r="K80" s="2144"/>
      <c r="L80" s="2144"/>
      <c r="M80" s="2144"/>
      <c r="N80" s="2146"/>
      <c r="O80" s="2144"/>
      <c r="P80" s="2144"/>
      <c r="Q80" s="2144"/>
      <c r="R80" s="2147"/>
      <c r="S80" s="2144"/>
      <c r="T80" s="1303"/>
      <c r="U80" s="1303"/>
      <c r="V80" s="1303"/>
      <c r="W80" s="1304"/>
      <c r="Y80" s="1265"/>
      <c r="Z80" s="1265"/>
      <c r="AA80" s="1265"/>
      <c r="AB80" s="1265"/>
      <c r="AC80" s="1265"/>
      <c r="AD80" s="1265"/>
      <c r="AE80" s="1265"/>
      <c r="AF80" s="1265"/>
      <c r="AG80" s="1265"/>
      <c r="AH80" s="1265"/>
      <c r="AI80" s="1265"/>
      <c r="AJ80" s="1265"/>
      <c r="AK80" s="1265"/>
      <c r="AL80" s="1265"/>
      <c r="AM80" s="1265"/>
      <c r="AN80" s="1265"/>
      <c r="AO80" s="1265"/>
      <c r="AP80" s="1265"/>
      <c r="AQ80" s="1265"/>
      <c r="AR80" s="1356">
        <v>0</v>
      </c>
    </row>
    <row s="1859" customFormat="1" customHeight="1" ht="17.25">
      <c r="A81" s="327"/>
      <c r="C81" s="215"/>
      <c r="D81" s="2141"/>
      <c r="E81" s="2149"/>
      <c r="F81" s="2152"/>
      <c r="G81" s="2149"/>
      <c r="H81" s="2155"/>
      <c r="I81" s="2157"/>
      <c r="J81" s="2160"/>
      <c r="K81" s="2144"/>
      <c r="L81" s="2144"/>
      <c r="M81" s="2144"/>
      <c r="N81" s="2147"/>
      <c r="O81" s="2144"/>
      <c r="P81" s="1477"/>
      <c r="Q81" s="1303"/>
      <c r="R81" s="1303"/>
      <c r="S81" s="335"/>
      <c r="T81" s="335"/>
      <c r="U81" s="335"/>
      <c r="V81" s="335"/>
      <c r="W81" s="1304"/>
      <c r="Y81" s="1273"/>
      <c r="Z81" s="1273"/>
      <c r="AA81" s="1273"/>
      <c r="AB81" s="1273"/>
      <c r="AC81" s="1273"/>
      <c r="AD81" s="1273"/>
      <c r="AE81" s="1273"/>
      <c r="AF81" s="1273"/>
      <c r="AG81" s="1273"/>
      <c r="AH81" s="1273"/>
      <c r="AI81" s="1273"/>
      <c r="AJ81" s="1273"/>
      <c r="AK81" s="1273"/>
      <c r="AL81" s="1273"/>
      <c r="AM81" s="1273"/>
      <c r="AN81" s="1273"/>
      <c r="AO81" s="1273"/>
      <c r="AP81" s="1273"/>
      <c r="AQ81" s="1273"/>
      <c r="AR81" s="1447">
        <v>0</v>
      </c>
    </row>
    <row s="1859" customFormat="1" customHeight="1" ht="17.25">
      <c r="A82" s="327"/>
      <c r="C82" s="326"/>
      <c r="D82" s="2141"/>
      <c r="E82" s="2149"/>
      <c r="F82" s="2152"/>
      <c r="G82" s="2149"/>
      <c r="H82" s="2155"/>
      <c r="I82" s="2157"/>
      <c r="J82" s="2160"/>
      <c r="K82" s="2144"/>
      <c r="L82" s="1303"/>
      <c r="M82" s="1303"/>
      <c r="N82" s="1303"/>
      <c r="O82" s="1303"/>
      <c r="P82" s="1303"/>
      <c r="Q82" s="1303"/>
      <c r="R82" s="1303"/>
      <c r="S82" s="335"/>
      <c r="T82" s="335"/>
      <c r="U82" s="335"/>
      <c r="V82" s="335"/>
      <c r="W82" s="1304"/>
      <c r="Y82" s="1265"/>
      <c r="Z82" s="1265"/>
      <c r="AA82" s="1265"/>
      <c r="AB82" s="1265"/>
      <c r="AC82" s="1265"/>
      <c r="AD82" s="1265"/>
      <c r="AE82" s="1265"/>
      <c r="AF82" s="1265"/>
      <c r="AG82" s="1265"/>
      <c r="AH82" s="1265"/>
      <c r="AI82" s="1265"/>
      <c r="AJ82" s="1265"/>
      <c r="AK82" s="1265"/>
      <c r="AL82" s="1265"/>
      <c r="AM82" s="1265"/>
      <c r="AN82" s="1265"/>
      <c r="AO82" s="1265"/>
      <c r="AP82" s="1265"/>
      <c r="AQ82" s="1265"/>
      <c r="AR82" s="1447">
        <v>0</v>
      </c>
    </row>
    <row s="1859" customFormat="1" customHeight="1" ht="17.25">
      <c r="A83" s="327"/>
      <c r="C83" s="326"/>
      <c r="D83" s="2142"/>
      <c r="E83" s="2150"/>
      <c r="F83" s="2153"/>
      <c r="G83" s="2150"/>
      <c r="H83" s="1305"/>
      <c r="I83" s="1306"/>
      <c r="J83" s="1306"/>
      <c r="K83" s="1306"/>
      <c r="L83" s="1306"/>
      <c r="M83" s="1306"/>
      <c r="N83" s="1306"/>
      <c r="O83" s="1306"/>
      <c r="P83" s="1306"/>
      <c r="Q83" s="1306"/>
      <c r="R83" s="1306"/>
      <c r="S83" s="1307"/>
      <c r="T83" s="1307"/>
      <c r="U83" s="1307"/>
      <c r="V83" s="1307"/>
      <c r="W83" s="1308"/>
      <c r="Y83" s="1265"/>
      <c r="Z83" s="1265"/>
      <c r="AA83" s="1265"/>
      <c r="AB83" s="1265"/>
      <c r="AC83" s="1265"/>
      <c r="AD83" s="1265"/>
      <c r="AE83" s="1265"/>
      <c r="AF83" s="1265"/>
      <c r="AG83" s="1265"/>
      <c r="AH83" s="1265"/>
      <c r="AI83" s="1265"/>
      <c r="AJ83" s="1265"/>
      <c r="AK83" s="1265"/>
      <c r="AL83" s="1265"/>
      <c r="AM83" s="1265"/>
      <c r="AN83" s="1265"/>
      <c r="AO83" s="1265"/>
      <c r="AP83" s="1265"/>
      <c r="AQ83" s="1265"/>
      <c r="AR83" s="1356">
        <v>0</v>
      </c>
    </row>
    <row s="1859" customFormat="1" customHeight="1" ht="17.25">
      <c r="A84" s="327"/>
      <c r="C84" s="215"/>
      <c r="D84" s="2141">
        <v>2</v>
      </c>
      <c r="E84" s="2149" t="s">
        <v>229</v>
      </c>
      <c r="F84" s="2151" t="s">
        <v>19</v>
      </c>
      <c r="G84" s="2149"/>
      <c r="H84" s="2154"/>
      <c r="I84" s="2156"/>
      <c r="J84" s="2158"/>
      <c r="K84" s="2143"/>
      <c r="L84" s="2143"/>
      <c r="M84" s="2143"/>
      <c r="N84" s="2145"/>
      <c r="O84" s="2143"/>
      <c r="P84" s="2143"/>
      <c r="Q84" s="2143"/>
      <c r="R84" s="2148"/>
      <c r="S84" s="2143"/>
      <c r="T84" s="1449"/>
      <c r="U84" s="1449"/>
      <c r="V84" s="1451"/>
      <c r="W84" s="1302"/>
      <c r="X84" s="1273"/>
      <c r="Y84" s="1273"/>
      <c r="Z84" s="1273"/>
      <c r="AA84" s="1273"/>
      <c r="AB84" s="1273"/>
      <c r="AC84" s="1273" t="s">
        <v>230</v>
      </c>
      <c r="AD84" s="1273" t="s">
        <v>231</v>
      </c>
      <c r="AE84" s="1273" t="s">
        <v>232</v>
      </c>
      <c r="AF84" s="1273" t="s">
        <v>233</v>
      </c>
      <c r="AG84" s="1273"/>
      <c r="AH84" s="1273" t="str">
        <f>IF($E$84=0,"",$E$84)</f>
        <v>Тариф на техническую воду</v>
      </c>
      <c r="AI84" s="1273" t="str">
        <f>IF($G$84=0,"",$G$84)</f>
        <v/>
      </c>
      <c r="AJ84" s="1273" t="str">
        <f>IF($J$84=0,"",$J$84)</f>
        <v/>
      </c>
      <c r="AK84" s="1273" t="str">
        <f>IF($K$84="нет","без дифференциации",IF($N$84=0,"",$N$84))</f>
        <v/>
      </c>
      <c r="AL84" s="1273" t="str">
        <f>IF($O$84="нет","без дифференциации",IF($R$84=0,"",$R$84))</f>
        <v/>
      </c>
      <c r="AM84" s="1273" t="str">
        <f>IF($S$84="нет","без дифференциации",IF($V$84=0,"",$V$84))</f>
        <v/>
      </c>
      <c r="AN84" s="1778">
        <f>$I$84</f>
        <v>0</v>
      </c>
      <c r="AO84" s="1273" t="str">
        <f>$I$84&amp;"."&amp;$M$84</f>
        <v>.</v>
      </c>
      <c r="AP84" s="1265" t="str">
        <f>$I$84&amp;"."&amp;$M$84&amp;"."&amp;$Q$84</f>
        <v>..</v>
      </c>
      <c r="AQ84" s="1265" t="str">
        <f>$I$84&amp;"."&amp;$M$84&amp;"."&amp;$Q$84&amp;"."&amp;$U$84</f>
        <v>...</v>
      </c>
      <c r="AR84" s="1356">
        <v>0</v>
      </c>
    </row>
    <row s="1859" customFormat="1" customHeight="1" ht="17.25">
      <c r="A85" s="327"/>
      <c r="C85" s="326"/>
      <c r="D85" s="2141"/>
      <c r="E85" s="2149"/>
      <c r="F85" s="2152"/>
      <c r="G85" s="2149"/>
      <c r="H85" s="2155"/>
      <c r="I85" s="2157"/>
      <c r="J85" s="2159"/>
      <c r="K85" s="2144"/>
      <c r="L85" s="2144"/>
      <c r="M85" s="2144"/>
      <c r="N85" s="2146"/>
      <c r="O85" s="2144"/>
      <c r="P85" s="2144"/>
      <c r="Q85" s="2144"/>
      <c r="R85" s="2147"/>
      <c r="S85" s="2144"/>
      <c r="T85" s="1303"/>
      <c r="U85" s="1303"/>
      <c r="V85" s="1303"/>
      <c r="W85" s="1304"/>
      <c r="X85" s="1265"/>
      <c r="Y85" s="1265"/>
      <c r="Z85" s="1265"/>
      <c r="AA85" s="1265"/>
      <c r="AB85" s="1265"/>
      <c r="AC85" s="1265"/>
      <c r="AD85" s="1265"/>
      <c r="AE85" s="1265"/>
      <c r="AF85" s="1265"/>
      <c r="AG85" s="1265"/>
      <c r="AH85" s="1265"/>
      <c r="AI85" s="1265"/>
      <c r="AJ85" s="1265"/>
      <c r="AK85" s="1265"/>
      <c r="AL85" s="1265"/>
      <c r="AM85" s="1265"/>
      <c r="AN85" s="1265"/>
      <c r="AO85" s="1265"/>
      <c r="AP85" s="1265"/>
      <c r="AQ85" s="1265"/>
      <c r="AR85" s="1356">
        <v>0</v>
      </c>
    </row>
    <row s="1859" customFormat="1" customHeight="1" ht="17.25">
      <c r="A86" s="327"/>
      <c r="C86" s="326"/>
      <c r="D86" s="2142"/>
      <c r="E86" s="2150"/>
      <c r="F86" s="2152"/>
      <c r="G86" s="2150"/>
      <c r="H86" s="2155"/>
      <c r="I86" s="2157"/>
      <c r="J86" s="2160"/>
      <c r="K86" s="2144"/>
      <c r="L86" s="2144"/>
      <c r="M86" s="2144"/>
      <c r="N86" s="2147"/>
      <c r="O86" s="2144"/>
      <c r="P86" s="1450"/>
      <c r="Q86" s="1303"/>
      <c r="R86" s="1303"/>
      <c r="S86" s="335"/>
      <c r="T86" s="335"/>
      <c r="U86" s="335"/>
      <c r="V86" s="335"/>
      <c r="W86" s="1304"/>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356">
        <v>0</v>
      </c>
    </row>
    <row s="1859" customFormat="1" customHeight="1" ht="17.25">
      <c r="A87" s="327"/>
      <c r="C87" s="326"/>
      <c r="D87" s="2142"/>
      <c r="E87" s="2150"/>
      <c r="F87" s="2152"/>
      <c r="G87" s="2150"/>
      <c r="H87" s="2155"/>
      <c r="I87" s="2157"/>
      <c r="J87" s="2160"/>
      <c r="K87" s="2144"/>
      <c r="L87" s="1303"/>
      <c r="M87" s="1303"/>
      <c r="N87" s="1303"/>
      <c r="O87" s="1303"/>
      <c r="P87" s="1303"/>
      <c r="Q87" s="1303"/>
      <c r="R87" s="1303"/>
      <c r="S87" s="335"/>
      <c r="T87" s="335"/>
      <c r="U87" s="335"/>
      <c r="V87" s="335"/>
      <c r="W87" s="1304"/>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356">
        <v>0</v>
      </c>
    </row>
    <row s="1859" customFormat="1" customHeight="1" ht="17.25">
      <c r="A88" s="327"/>
      <c r="C88" s="326"/>
      <c r="D88" s="2142"/>
      <c r="E88" s="2150"/>
      <c r="F88" s="2153"/>
      <c r="G88" s="2150"/>
      <c r="H88" s="1305"/>
      <c r="I88" s="1306"/>
      <c r="J88" s="1306"/>
      <c r="K88" s="1306"/>
      <c r="L88" s="1306"/>
      <c r="M88" s="1306"/>
      <c r="N88" s="1306"/>
      <c r="O88" s="1306"/>
      <c r="P88" s="1306"/>
      <c r="Q88" s="1306"/>
      <c r="R88" s="1306"/>
      <c r="S88" s="1307"/>
      <c r="T88" s="1307"/>
      <c r="U88" s="1307"/>
      <c r="V88" s="1307"/>
      <c r="W88" s="1308"/>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356">
        <v>0</v>
      </c>
    </row>
    <row s="1859" customFormat="1" customHeight="1" ht="17.25">
      <c r="A89" s="327"/>
      <c r="C89" s="215"/>
      <c r="D89" s="2141">
        <v>3</v>
      </c>
      <c r="E89" s="2149" t="s">
        <v>234</v>
      </c>
      <c r="F89" s="2151" t="s">
        <v>19</v>
      </c>
      <c r="G89" s="2149"/>
      <c r="H89" s="2154"/>
      <c r="I89" s="2156"/>
      <c r="J89" s="2158"/>
      <c r="K89" s="2143"/>
      <c r="L89" s="2143"/>
      <c r="M89" s="2143"/>
      <c r="N89" s="2145"/>
      <c r="O89" s="2143"/>
      <c r="P89" s="2143"/>
      <c r="Q89" s="2143"/>
      <c r="R89" s="2148"/>
      <c r="S89" s="2143"/>
      <c r="T89" s="1449"/>
      <c r="U89" s="1449"/>
      <c r="V89" s="1451"/>
      <c r="W89" s="1302"/>
      <c r="X89" s="1273"/>
      <c r="Y89" s="1273"/>
      <c r="Z89" s="1273"/>
      <c r="AA89" s="1273"/>
      <c r="AB89" s="1273"/>
      <c r="AC89" s="1273" t="s">
        <v>235</v>
      </c>
      <c r="AD89" s="1273" t="s">
        <v>236</v>
      </c>
      <c r="AE89" s="1273" t="s">
        <v>237</v>
      </c>
      <c r="AF89" s="1273" t="s">
        <v>238</v>
      </c>
      <c r="AG89" s="1273"/>
      <c r="AH89" s="1273" t="str">
        <f>IF($E$89=0,"",$E$89)</f>
        <v>Тариф на транспортировку воды</v>
      </c>
      <c r="AI89" s="1273" t="str">
        <f>IF($G$89=0,"",$G$89)</f>
        <v/>
      </c>
      <c r="AJ89" s="1273" t="str">
        <f>IF($J$89=0,"",$J$89)</f>
        <v/>
      </c>
      <c r="AK89" s="1273" t="str">
        <f>IF($K$89="нет","без дифференциации",IF($N$89=0,"",$N$89))</f>
        <v/>
      </c>
      <c r="AL89" s="1273" t="str">
        <f>IF($O$89="нет","без дифференциации",IF($R$89=0,"",$R$89))</f>
        <v/>
      </c>
      <c r="AM89" s="1273" t="str">
        <f>IF($S$89="нет","без дифференциации",IF($V$89=0,"",$V$89))</f>
        <v/>
      </c>
      <c r="AN89" s="1778">
        <f>$I$89</f>
        <v>0</v>
      </c>
      <c r="AO89" s="1273" t="str">
        <f>$I$89&amp;"."&amp;$M$89</f>
        <v>.</v>
      </c>
      <c r="AP89" s="1265" t="str">
        <f>$I$89&amp;"."&amp;$M$89&amp;"."&amp;$Q$89</f>
        <v>..</v>
      </c>
      <c r="AQ89" s="1265" t="str">
        <f>$I$89&amp;"."&amp;$M$89&amp;"."&amp;$Q$89&amp;"."&amp;$U$89</f>
        <v>...</v>
      </c>
      <c r="AR89" s="1356">
        <v>0</v>
      </c>
    </row>
    <row s="1859" customFormat="1" customHeight="1" ht="17.25">
      <c r="A90" s="327"/>
      <c r="C90" s="326"/>
      <c r="D90" s="2141"/>
      <c r="E90" s="2149"/>
      <c r="F90" s="2152"/>
      <c r="G90" s="2149"/>
      <c r="H90" s="2155"/>
      <c r="I90" s="2157"/>
      <c r="J90" s="2159"/>
      <c r="K90" s="2144"/>
      <c r="L90" s="2144"/>
      <c r="M90" s="2144"/>
      <c r="N90" s="2146"/>
      <c r="O90" s="2144"/>
      <c r="P90" s="2144"/>
      <c r="Q90" s="2144"/>
      <c r="R90" s="2147"/>
      <c r="S90" s="2144"/>
      <c r="T90" s="1303"/>
      <c r="U90" s="1303"/>
      <c r="V90" s="1303"/>
      <c r="W90" s="1304"/>
      <c r="X90" s="1265"/>
      <c r="Y90" s="1265"/>
      <c r="Z90" s="1265"/>
      <c r="AA90" s="1265"/>
      <c r="AB90" s="1265"/>
      <c r="AC90" s="1265"/>
      <c r="AD90" s="1265"/>
      <c r="AE90" s="1265"/>
      <c r="AF90" s="1265"/>
      <c r="AG90" s="1265"/>
      <c r="AH90" s="1265"/>
      <c r="AI90" s="1265"/>
      <c r="AJ90" s="1265"/>
      <c r="AK90" s="1265"/>
      <c r="AL90" s="1265"/>
      <c r="AM90" s="1265"/>
      <c r="AN90" s="1265"/>
      <c r="AO90" s="1265"/>
      <c r="AP90" s="1265"/>
      <c r="AQ90" s="1265"/>
      <c r="AR90" s="1356">
        <v>0</v>
      </c>
    </row>
    <row s="1859" customFormat="1" customHeight="1" ht="17.25">
      <c r="A91" s="327"/>
      <c r="C91" s="326"/>
      <c r="D91" s="2142"/>
      <c r="E91" s="2150"/>
      <c r="F91" s="2152"/>
      <c r="G91" s="2150"/>
      <c r="H91" s="2155"/>
      <c r="I91" s="2157"/>
      <c r="J91" s="2160"/>
      <c r="K91" s="2144"/>
      <c r="L91" s="2144"/>
      <c r="M91" s="2144"/>
      <c r="N91" s="2147"/>
      <c r="O91" s="2144"/>
      <c r="P91" s="1450"/>
      <c r="Q91" s="1303"/>
      <c r="R91" s="1303"/>
      <c r="S91" s="335"/>
      <c r="T91" s="335"/>
      <c r="U91" s="335"/>
      <c r="V91" s="335"/>
      <c r="W91" s="1304"/>
      <c r="X91" s="1265"/>
      <c r="Y91" s="1265"/>
      <c r="Z91" s="1265"/>
      <c r="AA91" s="1265"/>
      <c r="AB91" s="1265"/>
      <c r="AC91" s="1265"/>
      <c r="AD91" s="1265"/>
      <c r="AE91" s="1265"/>
      <c r="AF91" s="1265"/>
      <c r="AG91" s="1265"/>
      <c r="AH91" s="1265"/>
      <c r="AI91" s="1265"/>
      <c r="AJ91" s="1265"/>
      <c r="AK91" s="1265"/>
      <c r="AL91" s="1265"/>
      <c r="AM91" s="1265"/>
      <c r="AN91" s="1265"/>
      <c r="AO91" s="1265"/>
      <c r="AP91" s="1265"/>
      <c r="AQ91" s="1265"/>
      <c r="AR91" s="1356">
        <v>0</v>
      </c>
    </row>
    <row s="1859" customFormat="1" customHeight="1" ht="17.25">
      <c r="A92" s="327"/>
      <c r="C92" s="326"/>
      <c r="D92" s="2142"/>
      <c r="E92" s="2150"/>
      <c r="F92" s="2152"/>
      <c r="G92" s="2150"/>
      <c r="H92" s="2155"/>
      <c r="I92" s="2157"/>
      <c r="J92" s="2160"/>
      <c r="K92" s="2144"/>
      <c r="L92" s="1303"/>
      <c r="M92" s="1303"/>
      <c r="N92" s="1303"/>
      <c r="O92" s="1303"/>
      <c r="P92" s="1303"/>
      <c r="Q92" s="1303"/>
      <c r="R92" s="1303"/>
      <c r="S92" s="335"/>
      <c r="T92" s="335"/>
      <c r="U92" s="335"/>
      <c r="V92" s="335"/>
      <c r="W92" s="1304"/>
      <c r="X92" s="1265"/>
      <c r="Y92" s="1265"/>
      <c r="Z92" s="1265"/>
      <c r="AA92" s="1265"/>
      <c r="AB92" s="1265"/>
      <c r="AC92" s="1265"/>
      <c r="AD92" s="1265"/>
      <c r="AE92" s="1265"/>
      <c r="AF92" s="1265"/>
      <c r="AG92" s="1265"/>
      <c r="AH92" s="1265"/>
      <c r="AI92" s="1265"/>
      <c r="AJ92" s="1265"/>
      <c r="AK92" s="1265"/>
      <c r="AL92" s="1265"/>
      <c r="AM92" s="1265"/>
      <c r="AN92" s="1265"/>
      <c r="AO92" s="1265"/>
      <c r="AP92" s="1265"/>
      <c r="AQ92" s="1265"/>
      <c r="AR92" s="1356">
        <v>0</v>
      </c>
    </row>
    <row s="1859" customFormat="1" customHeight="1" ht="17.25">
      <c r="A93" s="327"/>
      <c r="C93" s="326"/>
      <c r="D93" s="2142"/>
      <c r="E93" s="2150"/>
      <c r="F93" s="2153"/>
      <c r="G93" s="2150"/>
      <c r="H93" s="1305"/>
      <c r="I93" s="1306"/>
      <c r="J93" s="1306"/>
      <c r="K93" s="1306"/>
      <c r="L93" s="1306"/>
      <c r="M93" s="1306"/>
      <c r="N93" s="1306"/>
      <c r="O93" s="1306"/>
      <c r="P93" s="1306"/>
      <c r="Q93" s="1306"/>
      <c r="R93" s="1306"/>
      <c r="S93" s="1307"/>
      <c r="T93" s="1307"/>
      <c r="U93" s="1307"/>
      <c r="V93" s="1307"/>
      <c r="W93" s="1308"/>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356">
        <v>0</v>
      </c>
    </row>
    <row s="1859" customFormat="1" customHeight="1" ht="17.25">
      <c r="A94" s="327"/>
      <c r="C94" s="215"/>
      <c r="D94" s="2141">
        <v>4</v>
      </c>
      <c r="E94" s="2149" t="s">
        <v>239</v>
      </c>
      <c r="F94" s="2151" t="s">
        <v>19</v>
      </c>
      <c r="G94" s="2149"/>
      <c r="H94" s="2154"/>
      <c r="I94" s="2156"/>
      <c r="J94" s="2158"/>
      <c r="K94" s="2143"/>
      <c r="L94" s="2143"/>
      <c r="M94" s="2143"/>
      <c r="N94" s="2145"/>
      <c r="O94" s="2143"/>
      <c r="P94" s="2143"/>
      <c r="Q94" s="2143"/>
      <c r="R94" s="2148"/>
      <c r="S94" s="2143"/>
      <c r="T94" s="1449"/>
      <c r="U94" s="1449"/>
      <c r="V94" s="1451"/>
      <c r="W94" s="1302"/>
      <c r="X94" s="1273"/>
      <c r="Y94" s="1273"/>
      <c r="Z94" s="1273"/>
      <c r="AA94" s="1273"/>
      <c r="AB94" s="1273"/>
      <c r="AC94" s="1273" t="s">
        <v>240</v>
      </c>
      <c r="AD94" s="1273" t="s">
        <v>241</v>
      </c>
      <c r="AE94" s="1273" t="s">
        <v>242</v>
      </c>
      <c r="AF94" s="1273" t="s">
        <v>243</v>
      </c>
      <c r="AG94" s="1273"/>
      <c r="AH94" s="1273" t="str">
        <f>IF($E$94=0,"",$E$94)</f>
        <v>Тариф на подвоз воды</v>
      </c>
      <c r="AI94" s="1273" t="str">
        <f>IF($G$94=0,"",$G$94)</f>
        <v/>
      </c>
      <c r="AJ94" s="1273" t="str">
        <f>IF($J$94=0,"",$J$94)</f>
        <v/>
      </c>
      <c r="AK94" s="1273" t="str">
        <f>IF($K$94="нет","без дифференциации",IF($N$94=0,"",$N$94))</f>
        <v/>
      </c>
      <c r="AL94" s="1273" t="str">
        <f>IF($O$94="нет","без дифференциации",IF($R$94=0,"",$R$94))</f>
        <v/>
      </c>
      <c r="AM94" s="1273" t="str">
        <f>IF($S$94="нет","без дифференциации",IF($V$94=0,"",$V$94))</f>
        <v/>
      </c>
      <c r="AN94" s="1778">
        <f>$I$94</f>
        <v>0</v>
      </c>
      <c r="AO94" s="1273" t="str">
        <f>$I$94&amp;"."&amp;$M$94</f>
        <v>.</v>
      </c>
      <c r="AP94" s="1265" t="str">
        <f>$I$94&amp;"."&amp;$M$94&amp;"."&amp;$Q$94</f>
        <v>..</v>
      </c>
      <c r="AQ94" s="1265" t="str">
        <f>$I$94&amp;"."&amp;$M$94&amp;"."&amp;$Q$94&amp;"."&amp;$U$94</f>
        <v>...</v>
      </c>
      <c r="AR94" s="1356">
        <v>0</v>
      </c>
    </row>
    <row s="1859" customFormat="1" customHeight="1" ht="17.25">
      <c r="A95" s="327"/>
      <c r="C95" s="326"/>
      <c r="D95" s="2141"/>
      <c r="E95" s="2149"/>
      <c r="F95" s="2152"/>
      <c r="G95" s="2149"/>
      <c r="H95" s="2155"/>
      <c r="I95" s="2157"/>
      <c r="J95" s="2159"/>
      <c r="K95" s="2144"/>
      <c r="L95" s="2144"/>
      <c r="M95" s="2144"/>
      <c r="N95" s="2146"/>
      <c r="O95" s="2144"/>
      <c r="P95" s="2144"/>
      <c r="Q95" s="2144"/>
      <c r="R95" s="2147"/>
      <c r="S95" s="2144"/>
      <c r="T95" s="1303"/>
      <c r="U95" s="1303"/>
      <c r="V95" s="1303"/>
      <c r="W95" s="1304"/>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356">
        <v>0</v>
      </c>
    </row>
    <row s="1859" customFormat="1" customHeight="1" ht="17.25">
      <c r="A96" s="327"/>
      <c r="C96" s="326"/>
      <c r="D96" s="2142"/>
      <c r="E96" s="2150"/>
      <c r="F96" s="2152"/>
      <c r="G96" s="2150"/>
      <c r="H96" s="2155"/>
      <c r="I96" s="2157"/>
      <c r="J96" s="2160"/>
      <c r="K96" s="2144"/>
      <c r="L96" s="2144"/>
      <c r="M96" s="2144"/>
      <c r="N96" s="2147"/>
      <c r="O96" s="2144"/>
      <c r="P96" s="1450"/>
      <c r="Q96" s="1303"/>
      <c r="R96" s="1303"/>
      <c r="S96" s="335"/>
      <c r="T96" s="335"/>
      <c r="U96" s="335"/>
      <c r="V96" s="335"/>
      <c r="W96" s="1304"/>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356">
        <v>0</v>
      </c>
    </row>
    <row s="1859" customFormat="1" customHeight="1" ht="17.25">
      <c r="A97" s="327"/>
      <c r="C97" s="326"/>
      <c r="D97" s="2142"/>
      <c r="E97" s="2150"/>
      <c r="F97" s="2152"/>
      <c r="G97" s="2150"/>
      <c r="H97" s="2155"/>
      <c r="I97" s="2157"/>
      <c r="J97" s="2160"/>
      <c r="K97" s="2144"/>
      <c r="L97" s="1303"/>
      <c r="M97" s="1303"/>
      <c r="N97" s="1303"/>
      <c r="O97" s="1303"/>
      <c r="P97" s="1303"/>
      <c r="Q97" s="1303"/>
      <c r="R97" s="1303"/>
      <c r="S97" s="335"/>
      <c r="T97" s="335"/>
      <c r="U97" s="335"/>
      <c r="V97" s="335"/>
      <c r="W97" s="1304"/>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356">
        <v>0</v>
      </c>
    </row>
    <row s="1859" customFormat="1" customHeight="1" ht="17.25">
      <c r="A98" s="327"/>
      <c r="C98" s="326"/>
      <c r="D98" s="2142"/>
      <c r="E98" s="2150"/>
      <c r="F98" s="2153"/>
      <c r="G98" s="2150"/>
      <c r="H98" s="1305"/>
      <c r="I98" s="1306"/>
      <c r="J98" s="1306"/>
      <c r="K98" s="1306"/>
      <c r="L98" s="1306"/>
      <c r="M98" s="1306"/>
      <c r="N98" s="1306"/>
      <c r="O98" s="1306"/>
      <c r="P98" s="1306"/>
      <c r="Q98" s="1306"/>
      <c r="R98" s="1306"/>
      <c r="S98" s="1307"/>
      <c r="T98" s="1307"/>
      <c r="U98" s="1307"/>
      <c r="V98" s="1307"/>
      <c r="W98" s="1308"/>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356">
        <v>0</v>
      </c>
    </row>
    <row s="1859" customFormat="1" customHeight="1" ht="17.25">
      <c r="A99" s="327"/>
      <c r="C99" s="215"/>
      <c r="D99" s="2141">
        <v>5</v>
      </c>
      <c r="E99" s="2149" t="s">
        <v>244</v>
      </c>
      <c r="F99" s="2151" t="s">
        <v>62</v>
      </c>
      <c r="G99" s="2636" t="str">
        <f>INDEX(VD_NAME_LIST,MATCH("4189677",VD_ID_LIST,0))</f>
        <v>Подключение (технологическое присоединение) к централизованной системе водоснабжения</v>
      </c>
      <c r="H99" s="2559"/>
      <c r="I99" s="2559">
        <v>1</v>
      </c>
      <c r="J99" s="2507" t="s">
        <v>245</v>
      </c>
      <c r="K99" s="2191" t="s">
        <v>19</v>
      </c>
      <c r="L99" s="2114"/>
      <c r="M99" s="2114" t="s">
        <v>111</v>
      </c>
      <c r="N99" s="444" t="s">
        <v>28</v>
      </c>
      <c r="O99" s="2191" t="s">
        <v>19</v>
      </c>
      <c r="P99" s="2114"/>
      <c r="Q99" s="2114" t="s">
        <v>111</v>
      </c>
      <c r="R99" s="2637" t="s">
        <v>28</v>
      </c>
      <c r="S99" s="2412" t="s">
        <v>19</v>
      </c>
      <c r="T99" s="2412"/>
      <c r="U99" s="2412" t="s">
        <v>111</v>
      </c>
      <c r="V99" s="1440"/>
      <c r="W99" s="2507"/>
      <c r="X99" s="1273"/>
      <c r="Y99" s="1273"/>
      <c r="Z99" s="1273"/>
      <c r="AA99" s="1273"/>
      <c r="AB99" s="1273" t="s">
        <v>246</v>
      </c>
      <c r="AC99" s="1273" t="s">
        <v>247</v>
      </c>
      <c r="AD99" s="1273" t="s">
        <v>248</v>
      </c>
      <c r="AE99" s="1273" t="s">
        <v>249</v>
      </c>
      <c r="AF99" s="1273" t="s">
        <v>250</v>
      </c>
      <c r="AG99" s="1273"/>
      <c r="AH99" s="1273" t="str">
        <f>IF($E$99=0,"",$E$99)</f>
        <v>Тариф на подключение (технологическое присоединение) к централизованной системе холодного водоснабжения</v>
      </c>
      <c r="AI99" s="1273" t="str">
        <f>IF($G$99=0,"",$G$99)</f>
        <v>Подключение (технологическое присоединение) к централизованной системе водоснабжения</v>
      </c>
      <c r="AJ99" s="1273" t="str">
        <f>IF($J$99=0,"",$J$99)</f>
        <v>Ставка тарифа на подключаемую нагрузку к централизованной системе холодного водоснабжения АО "ДГК" СП "Нерюнгринская ГРЭС" на 2026 год </v>
      </c>
      <c r="AK99" s="1273" t="str">
        <f>IF($K$99="нет","без дифференциации",IF($N$99=0,"",$N$99))</f>
        <v>без дифференциации</v>
      </c>
      <c r="AL99" s="1273" t="str">
        <f>IF($O$99="нет","без дифференциации",IF($R$99=0,"",$R$99))</f>
        <v>без дифференциации</v>
      </c>
      <c r="AM99" s="1273" t="str">
        <f>IF($S$99="нет","без дифференциации",IF($V$99=0,"",$V$99))</f>
        <v>без дифференциации</v>
      </c>
      <c r="AN99" s="1778">
        <f>$I$99</f>
        <v>1</v>
      </c>
      <c r="AO99" s="1273" t="str">
        <f>$I$99&amp;"."&amp;$M$99</f>
        <v>1.1</v>
      </c>
      <c r="AP99" s="1272" t="str">
        <f>$I$99&amp;"."&amp;$M$99&amp;"."&amp;$Q$99</f>
        <v>1.1.1</v>
      </c>
      <c r="AQ99" s="1272" t="str">
        <f>$I$99&amp;"."&amp;$M$99&amp;"."&amp;$Q$99&amp;"."&amp;$U$99</f>
        <v>1.1.1.1</v>
      </c>
      <c r="AR99" s="1473">
        <v>0</v>
      </c>
    </row>
    <row s="1859" customFormat="1" customHeight="1" ht="17.25">
      <c r="A100" s="327"/>
      <c r="C100" s="326"/>
      <c r="D100" s="2141"/>
      <c r="E100" s="2149"/>
      <c r="F100" s="2152"/>
      <c r="G100" s="2636"/>
      <c r="H100" s="2559"/>
      <c r="I100" s="2559"/>
      <c r="J100" s="2507"/>
      <c r="K100" s="2192"/>
      <c r="L100" s="2114"/>
      <c r="M100" s="2114"/>
      <c r="N100" s="444" t="s">
        <v>28</v>
      </c>
      <c r="O100" s="2192"/>
      <c r="P100" s="2114"/>
      <c r="Q100" s="2114"/>
      <c r="R100" s="2637" t="s">
        <v>28</v>
      </c>
      <c r="S100" s="2412"/>
      <c r="T100" s="1441"/>
      <c r="U100" s="1442"/>
      <c r="V100" s="1442"/>
      <c r="W100" s="2507"/>
      <c r="X100" s="1272"/>
      <c r="Y100" s="1272"/>
      <c r="Z100" s="1272"/>
      <c r="AA100" s="1272"/>
      <c r="AB100" s="1272"/>
      <c r="AC100" s="1272"/>
      <c r="AD100" s="1272"/>
      <c r="AE100" s="1272"/>
      <c r="AF100" s="1272"/>
      <c r="AG100" s="1272"/>
      <c r="AH100" s="1272"/>
      <c r="AI100" s="1272"/>
      <c r="AJ100" s="1272"/>
      <c r="AK100" s="1272"/>
      <c r="AL100" s="1272"/>
      <c r="AM100" s="1272"/>
      <c r="AN100" s="1272"/>
      <c r="AO100" s="1272"/>
      <c r="AP100" s="1272"/>
      <c r="AQ100" s="1272"/>
      <c r="AR100" s="1473">
        <v>0</v>
      </c>
    </row>
    <row s="1859" customFormat="1" customHeight="1" ht="17.25">
      <c r="A101" s="327"/>
      <c r="C101" s="326"/>
      <c r="D101" s="2142"/>
      <c r="E101" s="2150"/>
      <c r="F101" s="2152"/>
      <c r="G101" s="2638"/>
      <c r="H101" s="2509"/>
      <c r="I101" s="2509"/>
      <c r="J101" s="2539"/>
      <c r="K101" s="2192"/>
      <c r="L101" s="2509"/>
      <c r="M101" s="2509"/>
      <c r="N101" s="2637" t="s">
        <v>28</v>
      </c>
      <c r="O101" s="2118"/>
      <c r="P101" s="2639"/>
      <c r="Q101" s="2640"/>
      <c r="R101" s="2641" t="s">
        <v>251</v>
      </c>
      <c r="S101" s="2642"/>
      <c r="T101" s="2643"/>
      <c r="U101" s="2644"/>
      <c r="V101" s="2645"/>
      <c r="W101" s="2646"/>
      <c r="X101" s="1272"/>
      <c r="Y101" s="1272"/>
      <c r="Z101" s="1272"/>
      <c r="AA101" s="1272"/>
      <c r="AB101" s="1272"/>
      <c r="AC101" s="1272"/>
      <c r="AD101" s="1272"/>
      <c r="AE101" s="1272"/>
      <c r="AF101" s="1272"/>
      <c r="AG101" s="1272"/>
      <c r="AH101" s="1272"/>
      <c r="AI101" s="1272"/>
      <c r="AJ101" s="1272"/>
      <c r="AK101" s="1272"/>
      <c r="AL101" s="1272"/>
      <c r="AM101" s="1272"/>
      <c r="AN101" s="1272"/>
      <c r="AO101" s="1272"/>
      <c r="AP101" s="1272"/>
      <c r="AQ101" s="1272"/>
      <c r="AR101" s="1473">
        <v>0</v>
      </c>
    </row>
    <row s="1859" customFormat="1" customHeight="1" ht="17.25">
      <c r="A102" s="327"/>
      <c r="C102" s="326"/>
      <c r="D102" s="2142"/>
      <c r="E102" s="2150"/>
      <c r="F102" s="2152"/>
      <c r="G102" s="2638"/>
      <c r="H102" s="2509"/>
      <c r="I102" s="2509"/>
      <c r="J102" s="2539"/>
      <c r="K102" s="2118"/>
      <c r="L102" s="2647"/>
      <c r="M102" s="2648"/>
      <c r="N102" s="2649" t="s">
        <v>252</v>
      </c>
      <c r="O102" s="2650"/>
      <c r="P102" s="2651"/>
      <c r="Q102" s="2652"/>
      <c r="R102" s="2653"/>
      <c r="S102" s="2654"/>
      <c r="T102" s="2655"/>
      <c r="U102" s="2656"/>
      <c r="V102" s="2657"/>
      <c r="W102" s="2658"/>
      <c r="X102" s="1272"/>
      <c r="Y102" s="1272"/>
      <c r="Z102" s="1272"/>
      <c r="AA102" s="1272"/>
      <c r="AB102" s="1272"/>
      <c r="AC102" s="1272"/>
      <c r="AD102" s="1272"/>
      <c r="AE102" s="1272"/>
      <c r="AF102" s="1272"/>
      <c r="AG102" s="1272"/>
      <c r="AH102" s="1272"/>
      <c r="AI102" s="1272"/>
      <c r="AJ102" s="1272"/>
      <c r="AK102" s="1272"/>
      <c r="AL102" s="1272"/>
      <c r="AM102" s="1272"/>
      <c r="AN102" s="1272"/>
      <c r="AO102" s="1272"/>
      <c r="AP102" s="1272"/>
      <c r="AQ102" s="1272"/>
      <c r="AR102" s="1473">
        <v>0</v>
      </c>
    </row>
    <row customHeight="1" ht="17.25">
      <c r="A103" s="1846"/>
      <c r="B103" s="1859"/>
      <c r="C103" s="1848"/>
      <c r="D103" s="1836"/>
      <c r="E103" s="1853"/>
      <c r="F103" s="1790"/>
      <c r="G103" s="1854"/>
      <c r="H103" s="2535" t="s">
        <v>253</v>
      </c>
      <c r="I103" s="2535" t="s">
        <v>112</v>
      </c>
      <c r="J103" s="2507" t="s">
        <v>254</v>
      </c>
      <c r="K103" s="2191" t="s">
        <v>19</v>
      </c>
      <c r="L103" s="2114"/>
      <c r="M103" s="2114" t="s">
        <v>111</v>
      </c>
      <c r="N103" s="2659" t="s">
        <v>28</v>
      </c>
      <c r="O103" s="2191" t="s">
        <v>19</v>
      </c>
      <c r="P103" s="2114"/>
      <c r="Q103" s="2114" t="s">
        <v>111</v>
      </c>
      <c r="R103" s="2660" t="s">
        <v>28</v>
      </c>
      <c r="S103" s="2412" t="s">
        <v>19</v>
      </c>
      <c r="T103" s="1808"/>
      <c r="U103" s="1808" t="s">
        <v>111</v>
      </c>
      <c r="V103" s="1440"/>
      <c r="W103" s="2507"/>
      <c r="X103" s="1859"/>
      <c r="Y103" s="1273"/>
      <c r="Z103" s="1273"/>
      <c r="AA103" s="1273"/>
      <c r="AB103" s="1273"/>
      <c r="AC103" s="1980" t="s">
        <v>247</v>
      </c>
      <c r="AD103" s="1273" t="s">
        <v>255</v>
      </c>
      <c r="AE103" s="1273" t="s">
        <v>256</v>
      </c>
      <c r="AF103" s="1273" t="s">
        <v>257</v>
      </c>
      <c r="AG103" s="1273" t="s">
        <v>258</v>
      </c>
      <c r="AH103" s="1273" t="str">
        <f>IF($E$99=0,"",$E$99)</f>
        <v>Тариф на подключение (технологическое присоединение) к централизованной системе холодного водоснабжения</v>
      </c>
      <c r="AI103" s="1273" t="str">
        <f>IF($G$99=0,"",$G$99)</f>
        <v>Подключение (технологическое присоединение) к централизованной системе водоснабжения</v>
      </c>
      <c r="AJ103" s="1273" t="str">
        <f>IF($J$103=0,"",$J$103)</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(без учета расходов на благоустройство)</v>
      </c>
      <c r="AK103" s="1273" t="str">
        <f>IF($K$103="нет","без дифференциации",IF($N$103=0,"",$N$103))</f>
        <v>без дифференциации</v>
      </c>
      <c r="AL103" s="1850" t="str">
        <f>IF($O$103="нет","без дифференциации",IF($R$103=0,"",$R$103))</f>
        <v>без дифференциации</v>
      </c>
      <c r="AM103" s="1850"/>
      <c r="AN103" s="1273" t="str">
        <f>$I$103</f>
        <v>2</v>
      </c>
      <c r="AO103" s="1273" t="str">
        <f>$I$103&amp;"."&amp;$M$103</f>
        <v>2.1</v>
      </c>
      <c r="AP103" s="1273" t="str">
        <f>$I$103&amp;"."&amp;$M$103&amp;"."&amp;$Q$103</f>
        <v>2.1.1</v>
      </c>
      <c r="AQ103" s="1273"/>
      <c r="AR103" s="1859"/>
    </row>
    <row customHeight="1" ht="17.25">
      <c r="A104" s="1846"/>
      <c r="B104" s="1859"/>
      <c r="C104" s="1851"/>
      <c r="D104" s="1836"/>
      <c r="E104" s="1853"/>
      <c r="F104" s="1790"/>
      <c r="G104" s="1854"/>
      <c r="H104" s="2535"/>
      <c r="I104" s="2535"/>
      <c r="J104" s="2507"/>
      <c r="K104" s="2192"/>
      <c r="L104" s="2114"/>
      <c r="M104" s="2114"/>
      <c r="N104" s="2659" t="s">
        <v>28</v>
      </c>
      <c r="O104" s="2192"/>
      <c r="P104" s="2114"/>
      <c r="Q104" s="2114"/>
      <c r="R104" s="2660" t="s">
        <v>28</v>
      </c>
      <c r="S104" s="2412"/>
      <c r="T104" s="1441"/>
      <c r="U104" s="1442"/>
      <c r="V104" s="1442"/>
      <c r="W104" s="2507"/>
      <c r="X104" s="1859"/>
      <c r="Y104" s="1265"/>
      <c r="Z104" s="1265"/>
      <c r="AA104" s="1265"/>
      <c r="AB104" s="1265"/>
      <c r="AC104" s="1265"/>
      <c r="AD104" s="1265"/>
      <c r="AE104" s="1265"/>
      <c r="AF104" s="1265"/>
      <c r="AG104" s="1265"/>
      <c r="AH104" s="1265"/>
      <c r="AI104" s="1265"/>
      <c r="AJ104" s="1265"/>
      <c r="AK104" s="1265"/>
      <c r="AL104" s="1859"/>
      <c r="AM104" s="1859"/>
      <c r="AN104" s="1859"/>
      <c r="AO104" s="1859"/>
      <c r="AP104" s="1859"/>
      <c r="AQ104" s="1859"/>
      <c r="AR104" s="1859"/>
    </row>
    <row customHeight="1" ht="17.25">
      <c r="A105" s="1846"/>
      <c r="B105" s="1859"/>
      <c r="C105" s="1851"/>
      <c r="D105" s="1836"/>
      <c r="E105" s="1853"/>
      <c r="F105" s="1790"/>
      <c r="G105" s="1854"/>
      <c r="H105" s="2509"/>
      <c r="I105" s="2509"/>
      <c r="J105" s="2539"/>
      <c r="K105" s="2192"/>
      <c r="L105" s="2509"/>
      <c r="M105" s="2509"/>
      <c r="N105" s="2661" t="s">
        <v>28</v>
      </c>
      <c r="O105" s="2118"/>
      <c r="P105" s="323"/>
      <c r="Q105" s="324"/>
      <c r="R105" s="324" t="s">
        <v>251</v>
      </c>
      <c r="S105" s="1852"/>
      <c r="T105" s="1852"/>
      <c r="U105" s="1852"/>
      <c r="V105" s="1852"/>
      <c r="W105" s="1439"/>
      <c r="X105" s="1859"/>
      <c r="Y105" s="1265"/>
      <c r="Z105" s="1265"/>
      <c r="AA105" s="1265"/>
      <c r="AB105" s="1265"/>
      <c r="AC105" s="1265"/>
      <c r="AD105" s="1265"/>
      <c r="AE105" s="1265"/>
      <c r="AF105" s="1265"/>
      <c r="AG105" s="1265"/>
      <c r="AH105" s="1265"/>
      <c r="AI105" s="1265"/>
      <c r="AJ105" s="1265"/>
      <c r="AK105" s="1265"/>
      <c r="AL105" s="1859"/>
      <c r="AM105" s="1859"/>
      <c r="AN105" s="1859"/>
      <c r="AO105" s="1859"/>
      <c r="AP105" s="1859"/>
      <c r="AQ105" s="1859"/>
      <c r="AR105" s="1859"/>
    </row>
    <row customHeight="1" ht="17.25">
      <c r="A106" s="1846"/>
      <c r="B106" s="1859"/>
      <c r="C106" s="1851"/>
      <c r="D106" s="1836"/>
      <c r="E106" s="1853"/>
      <c r="F106" s="1790"/>
      <c r="G106" s="1854"/>
      <c r="H106" s="2509"/>
      <c r="I106" s="2509"/>
      <c r="J106" s="2539"/>
      <c r="K106" s="2118"/>
      <c r="L106" s="323"/>
      <c r="M106" s="324"/>
      <c r="N106" s="324" t="s">
        <v>252</v>
      </c>
      <c r="O106" s="324"/>
      <c r="P106" s="324"/>
      <c r="Q106" s="324"/>
      <c r="R106" s="324"/>
      <c r="S106" s="1852"/>
      <c r="T106" s="1852"/>
      <c r="U106" s="1852"/>
      <c r="V106" s="1852"/>
      <c r="W106" s="325"/>
      <c r="X106" s="1859"/>
      <c r="Y106" s="1265"/>
      <c r="Z106" s="1265"/>
      <c r="AA106" s="1265"/>
      <c r="AB106" s="1265"/>
      <c r="AC106" s="1265"/>
      <c r="AD106" s="1265"/>
      <c r="AE106" s="1265"/>
      <c r="AF106" s="1265"/>
      <c r="AG106" s="1265"/>
      <c r="AH106" s="1265"/>
      <c r="AI106" s="1265"/>
      <c r="AJ106" s="1265"/>
      <c r="AK106" s="1265"/>
      <c r="AL106" s="1859"/>
      <c r="AM106" s="1859"/>
      <c r="AN106" s="1859"/>
      <c r="AO106" s="1859"/>
      <c r="AP106" s="1859"/>
      <c r="AQ106" s="1859"/>
      <c r="AR106" s="1859"/>
    </row>
    <row customHeight="1" ht="17.25">
      <c r="A107" s="1846"/>
      <c r="B107" s="1859"/>
      <c r="C107" s="1848"/>
      <c r="D107" s="1836"/>
      <c r="E107" s="1853"/>
      <c r="F107" s="1790"/>
      <c r="G107" s="1854"/>
      <c r="H107" s="2535" t="s">
        <v>253</v>
      </c>
      <c r="I107" s="2535" t="s">
        <v>91</v>
      </c>
      <c r="J107" s="2507" t="s">
        <v>259</v>
      </c>
      <c r="K107" s="2191" t="s">
        <v>19</v>
      </c>
      <c r="L107" s="2114"/>
      <c r="M107" s="2114" t="s">
        <v>111</v>
      </c>
      <c r="N107" s="2659" t="s">
        <v>28</v>
      </c>
      <c r="O107" s="2191" t="s">
        <v>19</v>
      </c>
      <c r="P107" s="2114"/>
      <c r="Q107" s="2114" t="s">
        <v>111</v>
      </c>
      <c r="R107" s="2660" t="s">
        <v>28</v>
      </c>
      <c r="S107" s="2412" t="s">
        <v>19</v>
      </c>
      <c r="T107" s="1808"/>
      <c r="U107" s="1808" t="s">
        <v>111</v>
      </c>
      <c r="V107" s="1440"/>
      <c r="W107" s="2507"/>
      <c r="X107" s="1859"/>
      <c r="Y107" s="1273"/>
      <c r="Z107" s="1273"/>
      <c r="AA107" s="1273"/>
      <c r="AB107" s="1273"/>
      <c r="AC107" s="1980" t="s">
        <v>247</v>
      </c>
      <c r="AD107" s="1273" t="s">
        <v>260</v>
      </c>
      <c r="AE107" s="1273" t="s">
        <v>261</v>
      </c>
      <c r="AF107" s="1273" t="s">
        <v>262</v>
      </c>
      <c r="AG107" s="1273" t="s">
        <v>263</v>
      </c>
      <c r="AH107" s="1273" t="str">
        <f>IF($E$99=0,"",$E$99)</f>
        <v>Тариф на подключение (технологическое присоединение) к централизованной системе холодного водоснабжения</v>
      </c>
      <c r="AI107" s="1273" t="str">
        <f>IF($G$99=0,"",$G$99)</f>
        <v>Подключение (технологическое присоединение) к централизованной системе водоснабжения</v>
      </c>
      <c r="AJ107" s="1273" t="str">
        <f>IF($J$107=0,"",$J$107)</f>
        <v>Ставка тарифа за протяженность к централизованным системам холодного водоснабжения объектов с подключаемой нагрузкой менее 250 куб.м. в сутки для АО "ДГК" СП "Нероюнгринская ГРЭС" на 2026 год (с учетом расходов на благоустройство)</v>
      </c>
      <c r="AK107" s="1273" t="str">
        <f>IF($K$107="нет","без дифференциации",IF($N$107=0,"",$N$107))</f>
        <v>без дифференциации</v>
      </c>
      <c r="AL107" s="1850" t="str">
        <f>IF($O$107="нет","без дифференциации",IF($R$107=0,"",$R$107))</f>
        <v>без дифференциации</v>
      </c>
      <c r="AM107" s="1850"/>
      <c r="AN107" s="1273" t="str">
        <f>$I$107</f>
        <v>3</v>
      </c>
      <c r="AO107" s="1273" t="str">
        <f>$I$107&amp;"."&amp;$M$107</f>
        <v>3.1</v>
      </c>
      <c r="AP107" s="1273" t="str">
        <f>$I$107&amp;"."&amp;$M$107&amp;"."&amp;$Q$107</f>
        <v>3.1.1</v>
      </c>
      <c r="AQ107" s="1273"/>
      <c r="AR107" s="1859"/>
    </row>
    <row customHeight="1" ht="17.25">
      <c r="A108" s="1846"/>
      <c r="B108" s="1859"/>
      <c r="C108" s="1851"/>
      <c r="D108" s="1836"/>
      <c r="E108" s="1853"/>
      <c r="F108" s="1790"/>
      <c r="G108" s="1854"/>
      <c r="H108" s="2535"/>
      <c r="I108" s="2535"/>
      <c r="J108" s="2507"/>
      <c r="K108" s="2192"/>
      <c r="L108" s="2114"/>
      <c r="M108" s="2114"/>
      <c r="N108" s="2659" t="s">
        <v>28</v>
      </c>
      <c r="O108" s="2192"/>
      <c r="P108" s="2114"/>
      <c r="Q108" s="2114"/>
      <c r="R108" s="2660" t="s">
        <v>28</v>
      </c>
      <c r="S108" s="2412"/>
      <c r="T108" s="1441"/>
      <c r="U108" s="1442"/>
      <c r="V108" s="1442"/>
      <c r="W108" s="2507"/>
      <c r="X108" s="1859"/>
      <c r="Y108" s="1265"/>
      <c r="Z108" s="1265"/>
      <c r="AA108" s="1265"/>
      <c r="AB108" s="1265"/>
      <c r="AC108" s="1265"/>
      <c r="AD108" s="1265"/>
      <c r="AE108" s="1265"/>
      <c r="AF108" s="1265"/>
      <c r="AG108" s="1265"/>
      <c r="AH108" s="1265"/>
      <c r="AI108" s="1265"/>
      <c r="AJ108" s="1265"/>
      <c r="AK108" s="1265"/>
      <c r="AL108" s="1859"/>
      <c r="AM108" s="1859"/>
      <c r="AN108" s="1859"/>
      <c r="AO108" s="1859"/>
      <c r="AP108" s="1859"/>
      <c r="AQ108" s="1859"/>
      <c r="AR108" s="1859"/>
    </row>
    <row customHeight="1" ht="17.25">
      <c r="A109" s="1846"/>
      <c r="B109" s="1859"/>
      <c r="C109" s="1851"/>
      <c r="D109" s="1836"/>
      <c r="E109" s="1853"/>
      <c r="F109" s="1790"/>
      <c r="G109" s="1854"/>
      <c r="H109" s="2509"/>
      <c r="I109" s="2509"/>
      <c r="J109" s="2539"/>
      <c r="K109" s="2192"/>
      <c r="L109" s="2509"/>
      <c r="M109" s="2509"/>
      <c r="N109" s="2661" t="s">
        <v>28</v>
      </c>
      <c r="O109" s="2118"/>
      <c r="P109" s="323"/>
      <c r="Q109" s="324"/>
      <c r="R109" s="324" t="s">
        <v>251</v>
      </c>
      <c r="S109" s="1852"/>
      <c r="T109" s="1852"/>
      <c r="U109" s="1852"/>
      <c r="V109" s="1852"/>
      <c r="W109" s="1439"/>
      <c r="X109" s="1859"/>
      <c r="Y109" s="1265"/>
      <c r="Z109" s="1265"/>
      <c r="AA109" s="1265"/>
      <c r="AB109" s="1265"/>
      <c r="AC109" s="1265"/>
      <c r="AD109" s="1265"/>
      <c r="AE109" s="1265"/>
      <c r="AF109" s="1265"/>
      <c r="AG109" s="1265"/>
      <c r="AH109" s="1265"/>
      <c r="AI109" s="1265"/>
      <c r="AJ109" s="1265"/>
      <c r="AK109" s="1265"/>
      <c r="AL109" s="1859"/>
      <c r="AM109" s="1859"/>
      <c r="AN109" s="1859"/>
      <c r="AO109" s="1859"/>
      <c r="AP109" s="1859"/>
      <c r="AQ109" s="1859"/>
      <c r="AR109" s="1859"/>
    </row>
    <row customHeight="1" ht="17.25">
      <c r="A110" s="1846"/>
      <c r="B110" s="1859"/>
      <c r="C110" s="1851"/>
      <c r="D110" s="1836"/>
      <c r="E110" s="1853"/>
      <c r="F110" s="1790"/>
      <c r="G110" s="1854"/>
      <c r="H110" s="2509"/>
      <c r="I110" s="2509"/>
      <c r="J110" s="2539"/>
      <c r="K110" s="2118"/>
      <c r="L110" s="323"/>
      <c r="M110" s="324"/>
      <c r="N110" s="324" t="s">
        <v>252</v>
      </c>
      <c r="O110" s="324"/>
      <c r="P110" s="324"/>
      <c r="Q110" s="324"/>
      <c r="R110" s="324"/>
      <c r="S110" s="1852"/>
      <c r="T110" s="1852"/>
      <c r="U110" s="1852"/>
      <c r="V110" s="1852"/>
      <c r="W110" s="325"/>
      <c r="X110" s="1859"/>
      <c r="Y110" s="1265"/>
      <c r="Z110" s="1265"/>
      <c r="AA110" s="1265"/>
      <c r="AB110" s="1265"/>
      <c r="AC110" s="1265"/>
      <c r="AD110" s="1265"/>
      <c r="AE110" s="1265"/>
      <c r="AF110" s="1265"/>
      <c r="AG110" s="1265"/>
      <c r="AH110" s="1265"/>
      <c r="AI110" s="1265"/>
      <c r="AJ110" s="1265"/>
      <c r="AK110" s="1265"/>
      <c r="AL110" s="1859"/>
      <c r="AM110" s="1859"/>
      <c r="AN110" s="1859"/>
      <c r="AO110" s="1859"/>
      <c r="AP110" s="1859"/>
      <c r="AQ110" s="1859"/>
      <c r="AR110" s="1859"/>
    </row>
    <row s="1859" customFormat="1" customHeight="1" ht="17.25">
      <c r="A111" s="327"/>
      <c r="C111" s="326"/>
      <c r="D111" s="2142"/>
      <c r="E111" s="2150"/>
      <c r="F111" s="2153"/>
      <c r="G111" s="2638"/>
      <c r="H111" s="2662"/>
      <c r="I111" s="2663"/>
      <c r="J111" s="2664" t="s">
        <v>264</v>
      </c>
      <c r="K111" s="2665"/>
      <c r="L111" s="2666"/>
      <c r="M111" s="2667"/>
      <c r="N111" s="2668"/>
      <c r="O111" s="2669"/>
      <c r="P111" s="2670"/>
      <c r="Q111" s="2671"/>
      <c r="R111" s="2672"/>
      <c r="S111" s="2673"/>
      <c r="T111" s="2674"/>
      <c r="U111" s="2675"/>
      <c r="V111" s="2676"/>
      <c r="W111" s="2677"/>
      <c r="X111" s="1272"/>
      <c r="Y111" s="1272"/>
      <c r="Z111" s="1272"/>
      <c r="AA111" s="1272"/>
      <c r="AB111" s="1272"/>
      <c r="AC111" s="1272"/>
      <c r="AD111" s="1272"/>
      <c r="AE111" s="1272"/>
      <c r="AF111" s="1272"/>
      <c r="AG111" s="1272"/>
      <c r="AH111" s="1272"/>
      <c r="AI111" s="1272"/>
      <c r="AJ111" s="1272"/>
      <c r="AK111" s="1272"/>
      <c r="AL111" s="1272"/>
      <c r="AM111" s="1272"/>
      <c r="AN111" s="1272"/>
      <c r="AO111" s="1272"/>
      <c r="AP111" s="1272"/>
      <c r="AQ111" s="1272"/>
      <c r="AR111" s="1473">
        <v>0</v>
      </c>
    </row>
    <row s="1859" customFormat="1" customHeight="1" ht="11.25" hidden="1">
      <c r="A112" s="283"/>
      <c r="B112" s="283"/>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473">
        <v>0</v>
      </c>
    </row>
    <row s="1859" customFormat="1" customHeight="1" ht="17.25" hidden="1">
      <c r="A113" s="327"/>
      <c r="C113" s="215"/>
      <c r="D113" s="2141">
        <v>1</v>
      </c>
      <c r="E113" s="2149" t="s">
        <v>265</v>
      </c>
      <c r="F113" s="2151" t="s">
        <v>19</v>
      </c>
      <c r="G113" s="2149"/>
      <c r="H113" s="2154"/>
      <c r="I113" s="2156"/>
      <c r="J113" s="2158"/>
      <c r="K113" s="2143"/>
      <c r="L113" s="2143"/>
      <c r="M113" s="2143"/>
      <c r="N113" s="2145"/>
      <c r="O113" s="2143"/>
      <c r="P113" s="2143"/>
      <c r="Q113" s="2143"/>
      <c r="R113" s="2148"/>
      <c r="S113" s="2143"/>
      <c r="T113" s="1476"/>
      <c r="U113" s="1476"/>
      <c r="V113" s="1478"/>
      <c r="W113" s="1302"/>
      <c r="Y113" s="1273"/>
      <c r="Z113" s="1273"/>
      <c r="AA113" s="1273"/>
      <c r="AB113" s="1273"/>
      <c r="AC113" s="1273" t="s">
        <v>266</v>
      </c>
      <c r="AD113" s="1273" t="s">
        <v>267</v>
      </c>
      <c r="AE113" s="1273" t="s">
        <v>268</v>
      </c>
      <c r="AF113" s="1273" t="s">
        <v>269</v>
      </c>
      <c r="AG113" s="1273"/>
      <c r="AH113" s="1273" t="str">
        <f>IF($E$113=0,"",$E$113)</f>
        <v>Тариф на горячую воду (горячее водоснабжение)</v>
      </c>
      <c r="AI113" s="1273" t="str">
        <f>IF($G$113=0,"",$G$113)</f>
        <v/>
      </c>
      <c r="AJ113" s="1273" t="str">
        <f>IF($J$113=0,"",$J$113)</f>
        <v/>
      </c>
      <c r="AK113" s="1273" t="str">
        <f>IF($K$113="нет","без дифференциации",IF($N$113=0,"",$N$113))</f>
        <v/>
      </c>
      <c r="AL113" s="1273" t="str">
        <f>IF($O$113="нет","без дифференциации",IF($R$113=0,"",$R$113))</f>
        <v/>
      </c>
      <c r="AM113" s="1273" t="str">
        <f>IF($S$113="нет","без дифференциации",IF($V$113=0,"",$V$113))</f>
        <v/>
      </c>
      <c r="AN113" s="1273">
        <f>$I$113</f>
        <v>0</v>
      </c>
      <c r="AO113" s="1273" t="str">
        <f>$I$113&amp;"."&amp;$M$113</f>
        <v>.</v>
      </c>
      <c r="AP113" s="1273" t="str">
        <f>$I$113&amp;"."&amp;$M$113&amp;"."&amp;$Q$113</f>
        <v>..</v>
      </c>
      <c r="AQ113" s="1273" t="str">
        <f>$I$113&amp;"."&amp;$M$113&amp;"."&amp;$Q$113&amp;"."&amp;$U$113</f>
        <v>...</v>
      </c>
      <c r="AR113" s="1473">
        <v>0</v>
      </c>
    </row>
    <row s="1859" customFormat="1" customHeight="1" ht="17.25" hidden="1">
      <c r="A114" s="327"/>
      <c r="C114" s="326"/>
      <c r="D114" s="2141"/>
      <c r="E114" s="2149"/>
      <c r="F114" s="2152"/>
      <c r="G114" s="2149"/>
      <c r="H114" s="2155"/>
      <c r="I114" s="2157"/>
      <c r="J114" s="2159"/>
      <c r="K114" s="2144"/>
      <c r="L114" s="2144"/>
      <c r="M114" s="2144"/>
      <c r="N114" s="2146"/>
      <c r="O114" s="2144"/>
      <c r="P114" s="2144"/>
      <c r="Q114" s="2144"/>
      <c r="R114" s="2147"/>
      <c r="S114" s="2144"/>
      <c r="T114" s="1303"/>
      <c r="U114" s="1303"/>
      <c r="V114" s="1303"/>
      <c r="W114" s="1304"/>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473">
        <v>0</v>
      </c>
    </row>
    <row s="1859" customFormat="1" customHeight="1" ht="17.25" hidden="1">
      <c r="A115" s="327"/>
      <c r="C115" s="215"/>
      <c r="D115" s="2141"/>
      <c r="E115" s="2149"/>
      <c r="F115" s="2152"/>
      <c r="G115" s="2149"/>
      <c r="H115" s="2155"/>
      <c r="I115" s="2157"/>
      <c r="J115" s="2160"/>
      <c r="K115" s="2144"/>
      <c r="L115" s="2144"/>
      <c r="M115" s="2144"/>
      <c r="N115" s="2147"/>
      <c r="O115" s="2144"/>
      <c r="P115" s="1477"/>
      <c r="Q115" s="1303"/>
      <c r="R115" s="1303"/>
      <c r="S115" s="335"/>
      <c r="T115" s="335"/>
      <c r="U115" s="335"/>
      <c r="V115" s="335"/>
      <c r="W115" s="1304"/>
      <c r="Y115" s="1273"/>
      <c r="Z115" s="1273"/>
      <c r="AA115" s="1273"/>
      <c r="AB115" s="1273"/>
      <c r="AC115" s="1273"/>
      <c r="AD115" s="1273"/>
      <c r="AE115" s="1273"/>
      <c r="AF115" s="1273"/>
      <c r="AG115" s="1273"/>
      <c r="AH115" s="1273"/>
      <c r="AI115" s="1273"/>
      <c r="AJ115" s="1273"/>
      <c r="AK115" s="1273"/>
      <c r="AL115" s="1273"/>
      <c r="AM115" s="1273"/>
      <c r="AN115" s="1273"/>
      <c r="AO115" s="1273"/>
      <c r="AP115" s="1273"/>
      <c r="AQ115" s="1273"/>
      <c r="AR115" s="1473">
        <v>0</v>
      </c>
    </row>
    <row s="1859" customFormat="1" customHeight="1" ht="17.25" hidden="1">
      <c r="A116" s="327"/>
      <c r="C116" s="326"/>
      <c r="D116" s="2141"/>
      <c r="E116" s="2149"/>
      <c r="F116" s="2152"/>
      <c r="G116" s="2149"/>
      <c r="H116" s="2155"/>
      <c r="I116" s="2157"/>
      <c r="J116" s="2160"/>
      <c r="K116" s="2144"/>
      <c r="L116" s="1303"/>
      <c r="M116" s="1303"/>
      <c r="N116" s="1303"/>
      <c r="O116" s="1303"/>
      <c r="P116" s="1303"/>
      <c r="Q116" s="1303"/>
      <c r="R116" s="1303"/>
      <c r="S116" s="335"/>
      <c r="T116" s="335"/>
      <c r="U116" s="335"/>
      <c r="V116" s="335"/>
      <c r="W116" s="1304"/>
      <c r="Y116" s="1265"/>
      <c r="Z116" s="1265"/>
      <c r="AA116" s="1265"/>
      <c r="AB116" s="1265"/>
      <c r="AC116" s="1265"/>
      <c r="AD116" s="1265"/>
      <c r="AE116" s="1265"/>
      <c r="AF116" s="1265"/>
      <c r="AG116" s="1265"/>
      <c r="AH116" s="1265"/>
      <c r="AI116" s="1265"/>
      <c r="AJ116" s="1265"/>
      <c r="AK116" s="1265"/>
      <c r="AL116" s="1265"/>
      <c r="AM116" s="1265"/>
      <c r="AN116" s="1265"/>
      <c r="AO116" s="1265"/>
      <c r="AP116" s="1265"/>
      <c r="AQ116" s="1265"/>
      <c r="AR116" s="1473">
        <v>0</v>
      </c>
    </row>
    <row s="1859" customFormat="1" customHeight="1" ht="17.25" hidden="1">
      <c r="A117" s="327"/>
      <c r="C117" s="326"/>
      <c r="D117" s="2142"/>
      <c r="E117" s="2150"/>
      <c r="F117" s="2153"/>
      <c r="G117" s="2150"/>
      <c r="H117" s="1305"/>
      <c r="I117" s="1306"/>
      <c r="J117" s="1306"/>
      <c r="K117" s="1306"/>
      <c r="L117" s="1306"/>
      <c r="M117" s="1306"/>
      <c r="N117" s="1306"/>
      <c r="O117" s="1306"/>
      <c r="P117" s="1306"/>
      <c r="Q117" s="1306"/>
      <c r="R117" s="1306"/>
      <c r="S117" s="1307"/>
      <c r="T117" s="1307"/>
      <c r="U117" s="1307"/>
      <c r="V117" s="1307"/>
      <c r="W117" s="1308"/>
      <c r="Y117" s="1265"/>
      <c r="Z117" s="1265"/>
      <c r="AA117" s="1265"/>
      <c r="AB117" s="1265"/>
      <c r="AC117" s="1265"/>
      <c r="AD117" s="1265"/>
      <c r="AE117" s="1265"/>
      <c r="AF117" s="1265"/>
      <c r="AG117" s="1265"/>
      <c r="AH117" s="1265"/>
      <c r="AI117" s="1265"/>
      <c r="AJ117" s="1265"/>
      <c r="AK117" s="1265"/>
      <c r="AL117" s="1265"/>
      <c r="AM117" s="1265"/>
      <c r="AN117" s="1265"/>
      <c r="AO117" s="1265"/>
      <c r="AP117" s="1265"/>
      <c r="AQ117" s="1265"/>
      <c r="AR117" s="1473">
        <v>0</v>
      </c>
    </row>
    <row s="1859" customFormat="1" customHeight="1" ht="17.25" hidden="1">
      <c r="A118" s="327"/>
      <c r="C118" s="215"/>
      <c r="D118" s="2141">
        <v>2</v>
      </c>
      <c r="E118" s="2149" t="s">
        <v>270</v>
      </c>
      <c r="F118" s="2151" t="s">
        <v>19</v>
      </c>
      <c r="G118" s="2149"/>
      <c r="H118" s="2154"/>
      <c r="I118" s="2156"/>
      <c r="J118" s="2158"/>
      <c r="K118" s="2143"/>
      <c r="L118" s="2143"/>
      <c r="M118" s="2143"/>
      <c r="N118" s="2145"/>
      <c r="O118" s="2143"/>
      <c r="P118" s="2143"/>
      <c r="Q118" s="2143"/>
      <c r="R118" s="2148"/>
      <c r="S118" s="2143"/>
      <c r="T118" s="1476"/>
      <c r="U118" s="1476"/>
      <c r="V118" s="1478"/>
      <c r="W118" s="1302"/>
      <c r="X118" s="1273"/>
      <c r="Y118" s="1273"/>
      <c r="Z118" s="1273"/>
      <c r="AA118" s="1273"/>
      <c r="AB118" s="1273"/>
      <c r="AC118" s="1273" t="s">
        <v>271</v>
      </c>
      <c r="AD118" s="1273" t="s">
        <v>272</v>
      </c>
      <c r="AE118" s="1273" t="s">
        <v>273</v>
      </c>
      <c r="AF118" s="1273" t="s">
        <v>274</v>
      </c>
      <c r="AG118" s="1273"/>
      <c r="AH118" s="1273" t="str">
        <f>IF($E$118=0,"",$E$118)</f>
        <v>Тариф на транспортировку горячей воды</v>
      </c>
      <c r="AI118" s="1273" t="str">
        <f>IF($G$118=0,"",$G$118)</f>
        <v/>
      </c>
      <c r="AJ118" s="1273" t="str">
        <f>IF($J$118=0,"",$J$118)</f>
        <v/>
      </c>
      <c r="AK118" s="1273" t="str">
        <f>IF($K$118="нет","без дифференциации",IF($N$118=0,"",$N$118))</f>
        <v/>
      </c>
      <c r="AL118" s="1273" t="str">
        <f>IF($O$118="нет","без дифференциации",IF($R$118=0,"",$R$118))</f>
        <v/>
      </c>
      <c r="AM118" s="1273" t="str">
        <f>IF($S$118="нет","без дифференциации",IF($V$118=0,"",$V$118))</f>
        <v/>
      </c>
      <c r="AN118" s="1778">
        <f>$I$118</f>
        <v>0</v>
      </c>
      <c r="AO118" s="1273" t="str">
        <f>$I$118&amp;"."&amp;$M$118</f>
        <v>.</v>
      </c>
      <c r="AP118" s="1265" t="str">
        <f>$I$118&amp;"."&amp;$M$118&amp;"."&amp;$Q$118</f>
        <v>..</v>
      </c>
      <c r="AQ118" s="1265" t="str">
        <f>$I$118&amp;"."&amp;$M$118&amp;"."&amp;$Q$118&amp;"."&amp;$U$118</f>
        <v>...</v>
      </c>
      <c r="AR118" s="1473">
        <v>0</v>
      </c>
    </row>
    <row s="1859" customFormat="1" customHeight="1" ht="17.25" hidden="1">
      <c r="A119" s="327"/>
      <c r="C119" s="326"/>
      <c r="D119" s="2141"/>
      <c r="E119" s="2149"/>
      <c r="F119" s="2152"/>
      <c r="G119" s="2149"/>
      <c r="H119" s="2155"/>
      <c r="I119" s="2157"/>
      <c r="J119" s="2159"/>
      <c r="K119" s="2144"/>
      <c r="L119" s="2144"/>
      <c r="M119" s="2144"/>
      <c r="N119" s="2146"/>
      <c r="O119" s="2144"/>
      <c r="P119" s="2144"/>
      <c r="Q119" s="2144"/>
      <c r="R119" s="2147"/>
      <c r="S119" s="2144"/>
      <c r="T119" s="1303"/>
      <c r="U119" s="1303"/>
      <c r="V119" s="1303"/>
      <c r="W119" s="1304"/>
      <c r="X119" s="1265"/>
      <c r="Y119" s="1265"/>
      <c r="Z119" s="1265"/>
      <c r="AA119" s="1265"/>
      <c r="AB119" s="1265"/>
      <c r="AC119" s="1265"/>
      <c r="AD119" s="1265"/>
      <c r="AE119" s="1265"/>
      <c r="AF119" s="1265"/>
      <c r="AG119" s="1265"/>
      <c r="AH119" s="1265"/>
      <c r="AI119" s="1265"/>
      <c r="AJ119" s="1265"/>
      <c r="AK119" s="1265"/>
      <c r="AL119" s="1265"/>
      <c r="AM119" s="1265"/>
      <c r="AN119" s="1265"/>
      <c r="AO119" s="1265"/>
      <c r="AP119" s="1265"/>
      <c r="AQ119" s="1265"/>
      <c r="AR119" s="1473">
        <v>0</v>
      </c>
    </row>
    <row s="1859" customFormat="1" customHeight="1" ht="17.25" hidden="1">
      <c r="A120" s="327"/>
      <c r="C120" s="326"/>
      <c r="D120" s="2142"/>
      <c r="E120" s="2150"/>
      <c r="F120" s="2152"/>
      <c r="G120" s="2150"/>
      <c r="H120" s="2155"/>
      <c r="I120" s="2157"/>
      <c r="J120" s="2160"/>
      <c r="K120" s="2144"/>
      <c r="L120" s="2144"/>
      <c r="M120" s="2144"/>
      <c r="N120" s="2147"/>
      <c r="O120" s="2144"/>
      <c r="P120" s="1477"/>
      <c r="Q120" s="1303"/>
      <c r="R120" s="1303"/>
      <c r="S120" s="335"/>
      <c r="T120" s="335"/>
      <c r="U120" s="335"/>
      <c r="V120" s="335"/>
      <c r="W120" s="1304"/>
      <c r="X120" s="1265"/>
      <c r="Y120" s="1265"/>
      <c r="Z120" s="1265"/>
      <c r="AA120" s="1265"/>
      <c r="AB120" s="1265"/>
      <c r="AC120" s="1265"/>
      <c r="AD120" s="1265"/>
      <c r="AE120" s="1265"/>
      <c r="AF120" s="1265"/>
      <c r="AG120" s="1265"/>
      <c r="AH120" s="1265"/>
      <c r="AI120" s="1265"/>
      <c r="AJ120" s="1265"/>
      <c r="AK120" s="1265"/>
      <c r="AL120" s="1265"/>
      <c r="AM120" s="1265"/>
      <c r="AN120" s="1265"/>
      <c r="AO120" s="1265"/>
      <c r="AP120" s="1265"/>
      <c r="AQ120" s="1265"/>
      <c r="AR120" s="1473">
        <v>0</v>
      </c>
    </row>
    <row s="1859" customFormat="1" customHeight="1" ht="17.25" hidden="1">
      <c r="A121" s="327"/>
      <c r="C121" s="326"/>
      <c r="D121" s="2142"/>
      <c r="E121" s="2150"/>
      <c r="F121" s="2152"/>
      <c r="G121" s="2150"/>
      <c r="H121" s="2155"/>
      <c r="I121" s="2157"/>
      <c r="J121" s="2160"/>
      <c r="K121" s="2144"/>
      <c r="L121" s="1303"/>
      <c r="M121" s="1303"/>
      <c r="N121" s="1303"/>
      <c r="O121" s="1303"/>
      <c r="P121" s="1303"/>
      <c r="Q121" s="1303"/>
      <c r="R121" s="1303"/>
      <c r="S121" s="335"/>
      <c r="T121" s="335"/>
      <c r="U121" s="335"/>
      <c r="V121" s="335"/>
      <c r="W121" s="1304"/>
      <c r="X121" s="1265"/>
      <c r="Y121" s="1265"/>
      <c r="Z121" s="1265"/>
      <c r="AA121" s="1265"/>
      <c r="AB121" s="1265"/>
      <c r="AC121" s="1265"/>
      <c r="AD121" s="1265"/>
      <c r="AE121" s="1265"/>
      <c r="AF121" s="1265"/>
      <c r="AG121" s="1265"/>
      <c r="AH121" s="1265"/>
      <c r="AI121" s="1265"/>
      <c r="AJ121" s="1265"/>
      <c r="AK121" s="1265"/>
      <c r="AL121" s="1265"/>
      <c r="AM121" s="1265"/>
      <c r="AN121" s="1265"/>
      <c r="AO121" s="1265"/>
      <c r="AP121" s="1265"/>
      <c r="AQ121" s="1265"/>
      <c r="AR121" s="1473">
        <v>0</v>
      </c>
    </row>
    <row s="1859" customFormat="1" customHeight="1" ht="17.25" hidden="1">
      <c r="A122" s="327"/>
      <c r="C122" s="326"/>
      <c r="D122" s="2142"/>
      <c r="E122" s="2150"/>
      <c r="F122" s="2153"/>
      <c r="G122" s="2150"/>
      <c r="H122" s="1305"/>
      <c r="I122" s="1306"/>
      <c r="J122" s="1306"/>
      <c r="K122" s="1306"/>
      <c r="L122" s="1306"/>
      <c r="M122" s="1306"/>
      <c r="N122" s="1306"/>
      <c r="O122" s="1306"/>
      <c r="P122" s="1306"/>
      <c r="Q122" s="1306"/>
      <c r="R122" s="1306"/>
      <c r="S122" s="1307"/>
      <c r="T122" s="1307"/>
      <c r="U122" s="1307"/>
      <c r="V122" s="1307"/>
      <c r="W122" s="1308"/>
      <c r="X122" s="1265"/>
      <c r="Y122" s="1265"/>
      <c r="Z122" s="1265"/>
      <c r="AA122" s="1265"/>
      <c r="AB122" s="1265"/>
      <c r="AC122" s="1265"/>
      <c r="AD122" s="1265"/>
      <c r="AE122" s="1265"/>
      <c r="AF122" s="1265"/>
      <c r="AG122" s="1265"/>
      <c r="AH122" s="1265"/>
      <c r="AI122" s="1265"/>
      <c r="AJ122" s="1265"/>
      <c r="AK122" s="1265"/>
      <c r="AL122" s="1265"/>
      <c r="AM122" s="1265"/>
      <c r="AN122" s="1265"/>
      <c r="AO122" s="1265"/>
      <c r="AP122" s="1265"/>
      <c r="AQ122" s="1265"/>
      <c r="AR122" s="1473">
        <v>0</v>
      </c>
    </row>
    <row s="1859" customFormat="1" customHeight="1" ht="17.25" hidden="1">
      <c r="A123" s="327"/>
      <c r="C123" s="215"/>
      <c r="D123" s="2141">
        <v>3</v>
      </c>
      <c r="E123" s="2149" t="s">
        <v>275</v>
      </c>
      <c r="F123" s="2151" t="s">
        <v>19</v>
      </c>
      <c r="G123" s="2149"/>
      <c r="H123" s="2154"/>
      <c r="I123" s="2156"/>
      <c r="J123" s="2158"/>
      <c r="K123" s="2143"/>
      <c r="L123" s="2143"/>
      <c r="M123" s="2143"/>
      <c r="N123" s="2145"/>
      <c r="O123" s="2143"/>
      <c r="P123" s="2143"/>
      <c r="Q123" s="2143"/>
      <c r="R123" s="2148"/>
      <c r="S123" s="2143"/>
      <c r="T123" s="1949"/>
      <c r="U123" s="1949"/>
      <c r="V123" s="1951"/>
      <c r="W123" s="1302"/>
      <c r="X123" s="1273"/>
      <c r="Y123" s="1273"/>
      <c r="Z123" s="1273"/>
      <c r="AA123" s="1273"/>
      <c r="AB123" s="1273"/>
      <c r="AC123" s="1273" t="s">
        <v>276</v>
      </c>
      <c r="AD123" s="1273" t="s">
        <v>277</v>
      </c>
      <c r="AE123" s="1273" t="s">
        <v>278</v>
      </c>
      <c r="AF123" s="1273" t="s">
        <v>279</v>
      </c>
      <c r="AG123" s="1273"/>
      <c r="AH123" s="1273" t="str">
        <f>IF($E$123=0,"",$E$123)</f>
        <v>Тариф на подключение (технологическое присоединение) к централизованной системе горячего водоснабжения</v>
      </c>
      <c r="AI123" s="1273" t="str">
        <f>IF($G$123=0,"",$G$123)</f>
        <v/>
      </c>
      <c r="AJ123" s="1273" t="str">
        <f>IF($J$123=0,"",$J$123)</f>
        <v/>
      </c>
      <c r="AK123" s="1273" t="str">
        <f>IF($K$123="нет","без дифференциации",IF($N$123=0,"",$N$123))</f>
        <v/>
      </c>
      <c r="AL123" s="1273" t="str">
        <f>IF($O$123="нет","без дифференциации",IF($R$123=0,"",$R$123))</f>
        <v/>
      </c>
      <c r="AM123" s="1273" t="str">
        <f>IF($S$123="нет","без дифференциации",IF($V$123=0,"",$V$123))</f>
        <v/>
      </c>
      <c r="AN123" s="1778">
        <f>$I$123</f>
        <v>0</v>
      </c>
      <c r="AO123" s="1273" t="str">
        <f>$I$123&amp;"."&amp;$M$123</f>
        <v>.</v>
      </c>
      <c r="AP123" s="1272" t="str">
        <f>$I$123&amp;"."&amp;$M$123&amp;"."&amp;$Q$123</f>
        <v>..</v>
      </c>
      <c r="AQ123" s="1272" t="str">
        <f>$I$123&amp;"."&amp;$M$123&amp;"."&amp;$Q$123&amp;"."&amp;$U$123</f>
        <v>...</v>
      </c>
      <c r="AR123" s="1473">
        <v>0</v>
      </c>
    </row>
    <row s="1859" customFormat="1" customHeight="1" ht="17.25" hidden="1">
      <c r="A124" s="327"/>
      <c r="C124" s="326"/>
      <c r="D124" s="2141"/>
      <c r="E124" s="2149"/>
      <c r="F124" s="2152"/>
      <c r="G124" s="2149"/>
      <c r="H124" s="2155"/>
      <c r="I124" s="2157"/>
      <c r="J124" s="2159"/>
      <c r="K124" s="2144"/>
      <c r="L124" s="2144"/>
      <c r="M124" s="2144"/>
      <c r="N124" s="2146"/>
      <c r="O124" s="2144"/>
      <c r="P124" s="2144"/>
      <c r="Q124" s="2144"/>
      <c r="R124" s="2147"/>
      <c r="S124" s="2144"/>
      <c r="T124" s="1954"/>
      <c r="U124" s="1954"/>
      <c r="V124" s="1954"/>
      <c r="W124" s="1955"/>
      <c r="X124" s="1272"/>
      <c r="Y124" s="1272"/>
      <c r="Z124" s="1272"/>
      <c r="AA124" s="1272"/>
      <c r="AB124" s="1272"/>
      <c r="AC124" s="1272"/>
      <c r="AD124" s="1272"/>
      <c r="AE124" s="1272"/>
      <c r="AF124" s="1272"/>
      <c r="AG124" s="1272"/>
      <c r="AH124" s="1272"/>
      <c r="AI124" s="1272"/>
      <c r="AJ124" s="1272"/>
      <c r="AK124" s="1272"/>
      <c r="AL124" s="1272"/>
      <c r="AM124" s="1272"/>
      <c r="AN124" s="1272"/>
      <c r="AO124" s="1272"/>
      <c r="AP124" s="1272"/>
      <c r="AQ124" s="1272"/>
      <c r="AR124" s="1473">
        <v>0</v>
      </c>
    </row>
    <row s="1859" customFormat="1" customHeight="1" ht="17.25" hidden="1">
      <c r="A125" s="327"/>
      <c r="C125" s="326"/>
      <c r="D125" s="2142"/>
      <c r="E125" s="2150"/>
      <c r="F125" s="2152"/>
      <c r="G125" s="2150"/>
      <c r="H125" s="2155"/>
      <c r="I125" s="2157"/>
      <c r="J125" s="2160"/>
      <c r="K125" s="2144"/>
      <c r="L125" s="2144"/>
      <c r="M125" s="2144"/>
      <c r="N125" s="2147"/>
      <c r="O125" s="2144"/>
      <c r="P125" s="1950"/>
      <c r="Q125" s="1954"/>
      <c r="R125" s="1954"/>
      <c r="S125" s="335"/>
      <c r="T125" s="335"/>
      <c r="U125" s="335"/>
      <c r="V125" s="335"/>
      <c r="W125" s="1955"/>
      <c r="X125" s="1272"/>
      <c r="Y125" s="1272"/>
      <c r="Z125" s="1272"/>
      <c r="AA125" s="1272"/>
      <c r="AB125" s="1272"/>
      <c r="AC125" s="1272"/>
      <c r="AD125" s="1272"/>
      <c r="AE125" s="1272"/>
      <c r="AF125" s="1272"/>
      <c r="AG125" s="1272"/>
      <c r="AH125" s="1272"/>
      <c r="AI125" s="1272"/>
      <c r="AJ125" s="1272"/>
      <c r="AK125" s="1272"/>
      <c r="AL125" s="1272"/>
      <c r="AM125" s="1272"/>
      <c r="AN125" s="1272"/>
      <c r="AO125" s="1272"/>
      <c r="AP125" s="1272"/>
      <c r="AQ125" s="1272"/>
      <c r="AR125" s="1473">
        <v>0</v>
      </c>
    </row>
    <row s="1859" customFormat="1" customHeight="1" ht="17.25" hidden="1">
      <c r="A126" s="327"/>
      <c r="C126" s="326"/>
      <c r="D126" s="2142"/>
      <c r="E126" s="2150"/>
      <c r="F126" s="2152"/>
      <c r="G126" s="2150"/>
      <c r="H126" s="2155"/>
      <c r="I126" s="2157"/>
      <c r="J126" s="2160"/>
      <c r="K126" s="2144"/>
      <c r="L126" s="1954"/>
      <c r="M126" s="1954"/>
      <c r="N126" s="1954"/>
      <c r="O126" s="1954"/>
      <c r="P126" s="1954"/>
      <c r="Q126" s="1954"/>
      <c r="R126" s="1954"/>
      <c r="S126" s="335"/>
      <c r="T126" s="335"/>
      <c r="U126" s="335"/>
      <c r="V126" s="335"/>
      <c r="W126" s="1955"/>
      <c r="X126" s="1272"/>
      <c r="Y126" s="1272"/>
      <c r="Z126" s="1272"/>
      <c r="AA126" s="1272"/>
      <c r="AB126" s="1272"/>
      <c r="AC126" s="1272"/>
      <c r="AD126" s="1272"/>
      <c r="AE126" s="1272"/>
      <c r="AF126" s="1272"/>
      <c r="AG126" s="1272"/>
      <c r="AH126" s="1272"/>
      <c r="AI126" s="1272"/>
      <c r="AJ126" s="1272"/>
      <c r="AK126" s="1272"/>
      <c r="AL126" s="1272"/>
      <c r="AM126" s="1272"/>
      <c r="AN126" s="1272"/>
      <c r="AO126" s="1272"/>
      <c r="AP126" s="1272"/>
      <c r="AQ126" s="1272"/>
      <c r="AR126" s="1473">
        <v>0</v>
      </c>
    </row>
    <row s="1859" customFormat="1" customHeight="1" ht="17.25" hidden="1">
      <c r="A127" s="327"/>
      <c r="C127" s="326"/>
      <c r="D127" s="2142"/>
      <c r="E127" s="2150"/>
      <c r="F127" s="2153"/>
      <c r="G127" s="2150"/>
      <c r="H127" s="1305"/>
      <c r="I127" s="1952"/>
      <c r="J127" s="1952"/>
      <c r="K127" s="1952"/>
      <c r="L127" s="1952"/>
      <c r="M127" s="1952"/>
      <c r="N127" s="1952"/>
      <c r="O127" s="1952"/>
      <c r="P127" s="1952"/>
      <c r="Q127" s="1952"/>
      <c r="R127" s="1952"/>
      <c r="S127" s="1307"/>
      <c r="T127" s="1307"/>
      <c r="U127" s="1307"/>
      <c r="V127" s="1307"/>
      <c r="W127" s="1953"/>
      <c r="X127" s="1272"/>
      <c r="Y127" s="1272"/>
      <c r="Z127" s="1272"/>
      <c r="AA127" s="1272"/>
      <c r="AB127" s="1272"/>
      <c r="AC127" s="1272"/>
      <c r="AD127" s="1272"/>
      <c r="AE127" s="1272"/>
      <c r="AF127" s="1272"/>
      <c r="AG127" s="1272"/>
      <c r="AH127" s="1272"/>
      <c r="AI127" s="1272"/>
      <c r="AJ127" s="1272"/>
      <c r="AK127" s="1272"/>
      <c r="AL127" s="1272"/>
      <c r="AM127" s="1272"/>
      <c r="AN127" s="1272"/>
      <c r="AO127" s="1272"/>
      <c r="AP127" s="1272"/>
      <c r="AQ127" s="1272"/>
      <c r="AR127" s="1473">
        <v>0</v>
      </c>
    </row>
    <row s="1859" customFormat="1" customHeight="1" ht="11.25" hidden="1">
      <c r="A128" s="283"/>
      <c r="B128" s="283"/>
      <c r="Y128" s="1265"/>
      <c r="Z128" s="1265"/>
      <c r="AA128" s="1265"/>
      <c r="AB128" s="1265"/>
      <c r="AC128" s="1265"/>
      <c r="AD128" s="1265"/>
      <c r="AE128" s="1265"/>
      <c r="AF128" s="1265"/>
      <c r="AG128" s="1265"/>
      <c r="AH128" s="1265"/>
      <c r="AI128" s="1265"/>
      <c r="AJ128" s="1265"/>
      <c r="AK128" s="1265"/>
      <c r="AL128" s="1265"/>
      <c r="AM128" s="1265"/>
      <c r="AN128" s="1265"/>
      <c r="AO128" s="1265"/>
      <c r="AP128" s="1265"/>
      <c r="AQ128" s="1265"/>
      <c r="AR128" s="1473">
        <v>0</v>
      </c>
    </row>
    <row s="1859" customFormat="1" customHeight="1" ht="17.25" hidden="1">
      <c r="A129" s="327"/>
      <c r="C129" s="215"/>
      <c r="D129" s="2141">
        <v>1</v>
      </c>
      <c r="E129" s="2149" t="s">
        <v>280</v>
      </c>
      <c r="F129" s="2151" t="s">
        <v>19</v>
      </c>
      <c r="G129" s="2149"/>
      <c r="H129" s="2154"/>
      <c r="I129" s="2156"/>
      <c r="J129" s="2158"/>
      <c r="K129" s="2143"/>
      <c r="L129" s="2143"/>
      <c r="M129" s="2143"/>
      <c r="N129" s="2145"/>
      <c r="O129" s="2143"/>
      <c r="P129" s="2143"/>
      <c r="Q129" s="2143"/>
      <c r="R129" s="2148"/>
      <c r="S129" s="2143"/>
      <c r="T129" s="1476"/>
      <c r="U129" s="1476"/>
      <c r="V129" s="1478"/>
      <c r="W129" s="1302"/>
      <c r="Y129" s="1273"/>
      <c r="Z129" s="1273"/>
      <c r="AA129" s="1273"/>
      <c r="AB129" s="1273"/>
      <c r="AC129" s="1273" t="s">
        <v>281</v>
      </c>
      <c r="AD129" s="1273" t="s">
        <v>282</v>
      </c>
      <c r="AE129" s="1273" t="s">
        <v>283</v>
      </c>
      <c r="AF129" s="1273" t="s">
        <v>284</v>
      </c>
      <c r="AG129" s="1273"/>
      <c r="AH129" s="1273" t="str">
        <f>IF($E$129=0,"",$E$129)</f>
        <v>Тариф на водоотведение</v>
      </c>
      <c r="AI129" s="1273" t="str">
        <f>IF($G$129=0,"",$G$129)</f>
        <v/>
      </c>
      <c r="AJ129" s="1273" t="str">
        <f>IF($J$129=0,"",$J$129)</f>
        <v/>
      </c>
      <c r="AK129" s="1273" t="str">
        <f>IF($K$129="нет","без дифференциации",IF($N$129=0,"",$N$129))</f>
        <v/>
      </c>
      <c r="AL129" s="1273" t="str">
        <f>IF($O$129="нет","без дифференциации",IF($R$129=0,"",$R$129))</f>
        <v/>
      </c>
      <c r="AM129" s="1273" t="str">
        <f>IF($S$129="нет","без дифференциации",IF($V$129=0,"",$V$129))</f>
        <v/>
      </c>
      <c r="AN129" s="1273">
        <f>$I$129</f>
        <v>0</v>
      </c>
      <c r="AO129" s="1273" t="str">
        <f>$I$129&amp;"."&amp;$M$129</f>
        <v>.</v>
      </c>
      <c r="AP129" s="1273" t="str">
        <f>$I$129&amp;"."&amp;$M$129&amp;"."&amp;$Q$129</f>
        <v>..</v>
      </c>
      <c r="AQ129" s="1273" t="str">
        <f>$I$129&amp;"."&amp;$M$129&amp;"."&amp;$Q$129&amp;"."&amp;$U$129</f>
        <v>...</v>
      </c>
      <c r="AR129" s="1473">
        <v>0</v>
      </c>
    </row>
    <row s="1859" customFormat="1" customHeight="1" ht="17.25" hidden="1">
      <c r="A130" s="327"/>
      <c r="C130" s="326"/>
      <c r="D130" s="2141"/>
      <c r="E130" s="2149"/>
      <c r="F130" s="2152"/>
      <c r="G130" s="2149"/>
      <c r="H130" s="2155"/>
      <c r="I130" s="2157"/>
      <c r="J130" s="2159"/>
      <c r="K130" s="2144"/>
      <c r="L130" s="2144"/>
      <c r="M130" s="2144"/>
      <c r="N130" s="2146"/>
      <c r="O130" s="2144"/>
      <c r="P130" s="2144"/>
      <c r="Q130" s="2144"/>
      <c r="R130" s="2147"/>
      <c r="S130" s="2144"/>
      <c r="T130" s="1303"/>
      <c r="U130" s="1303"/>
      <c r="V130" s="1303"/>
      <c r="W130" s="1304"/>
      <c r="Y130" s="1265"/>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473">
        <v>0</v>
      </c>
    </row>
    <row s="1859" customFormat="1" customHeight="1" ht="17.25" hidden="1">
      <c r="A131" s="327"/>
      <c r="C131" s="215"/>
      <c r="D131" s="2141"/>
      <c r="E131" s="2149"/>
      <c r="F131" s="2152"/>
      <c r="G131" s="2149"/>
      <c r="H131" s="2155"/>
      <c r="I131" s="2157"/>
      <c r="J131" s="2160"/>
      <c r="K131" s="2144"/>
      <c r="L131" s="2144"/>
      <c r="M131" s="2144"/>
      <c r="N131" s="2147"/>
      <c r="O131" s="2144"/>
      <c r="P131" s="1477"/>
      <c r="Q131" s="1303"/>
      <c r="R131" s="1303"/>
      <c r="S131" s="335"/>
      <c r="T131" s="335"/>
      <c r="U131" s="335"/>
      <c r="V131" s="335"/>
      <c r="W131" s="1304"/>
      <c r="Y131" s="1273"/>
      <c r="Z131" s="1273"/>
      <c r="AA131" s="1273"/>
      <c r="AB131" s="1273"/>
      <c r="AC131" s="1273"/>
      <c r="AD131" s="1273"/>
      <c r="AE131" s="1273"/>
      <c r="AF131" s="1273"/>
      <c r="AG131" s="1273"/>
      <c r="AH131" s="1273"/>
      <c r="AI131" s="1273"/>
      <c r="AJ131" s="1273"/>
      <c r="AK131" s="1273"/>
      <c r="AL131" s="1273"/>
      <c r="AM131" s="1273"/>
      <c r="AN131" s="1273"/>
      <c r="AO131" s="1273"/>
      <c r="AP131" s="1273"/>
      <c r="AQ131" s="1273"/>
      <c r="AR131" s="1473">
        <v>0</v>
      </c>
    </row>
    <row s="1859" customFormat="1" customHeight="1" ht="17.25" hidden="1">
      <c r="A132" s="327"/>
      <c r="C132" s="326"/>
      <c r="D132" s="2141"/>
      <c r="E132" s="2149"/>
      <c r="F132" s="2152"/>
      <c r="G132" s="2149"/>
      <c r="H132" s="2155"/>
      <c r="I132" s="2157"/>
      <c r="J132" s="2160"/>
      <c r="K132" s="2144"/>
      <c r="L132" s="1303"/>
      <c r="M132" s="1303"/>
      <c r="N132" s="1303"/>
      <c r="O132" s="1303"/>
      <c r="P132" s="1303"/>
      <c r="Q132" s="1303"/>
      <c r="R132" s="1303"/>
      <c r="S132" s="335"/>
      <c r="T132" s="335"/>
      <c r="U132" s="335"/>
      <c r="V132" s="335"/>
      <c r="W132" s="1304"/>
      <c r="Y132" s="1265"/>
      <c r="Z132" s="1265"/>
      <c r="AA132" s="1265"/>
      <c r="AB132" s="1265"/>
      <c r="AC132" s="1265"/>
      <c r="AD132" s="1265"/>
      <c r="AE132" s="1265"/>
      <c r="AF132" s="1265"/>
      <c r="AG132" s="1265"/>
      <c r="AH132" s="1265"/>
      <c r="AI132" s="1265"/>
      <c r="AJ132" s="1265"/>
      <c r="AK132" s="1265"/>
      <c r="AL132" s="1265"/>
      <c r="AM132" s="1265"/>
      <c r="AN132" s="1265"/>
      <c r="AO132" s="1265"/>
      <c r="AP132" s="1265"/>
      <c r="AQ132" s="1265"/>
      <c r="AR132" s="1473">
        <v>0</v>
      </c>
    </row>
    <row s="1859" customFormat="1" customHeight="1" ht="17.25" hidden="1">
      <c r="A133" s="327"/>
      <c r="C133" s="326"/>
      <c r="D133" s="2142"/>
      <c r="E133" s="2150"/>
      <c r="F133" s="2153"/>
      <c r="G133" s="2150"/>
      <c r="H133" s="1305"/>
      <c r="I133" s="1306"/>
      <c r="J133" s="1306"/>
      <c r="K133" s="1306"/>
      <c r="L133" s="1306"/>
      <c r="M133" s="1306"/>
      <c r="N133" s="1306"/>
      <c r="O133" s="1306"/>
      <c r="P133" s="1306"/>
      <c r="Q133" s="1306"/>
      <c r="R133" s="1306"/>
      <c r="S133" s="1307"/>
      <c r="T133" s="1307"/>
      <c r="U133" s="1307"/>
      <c r="V133" s="1307"/>
      <c r="W133" s="1308"/>
      <c r="Y133" s="1265"/>
      <c r="Z133" s="1265"/>
      <c r="AA133" s="1265"/>
      <c r="AB133" s="1265"/>
      <c r="AC133" s="1265"/>
      <c r="AD133" s="1265"/>
      <c r="AE133" s="1265"/>
      <c r="AF133" s="1265"/>
      <c r="AG133" s="1265"/>
      <c r="AH133" s="1265"/>
      <c r="AI133" s="1265"/>
      <c r="AJ133" s="1265"/>
      <c r="AK133" s="1265"/>
      <c r="AL133" s="1265"/>
      <c r="AM133" s="1265"/>
      <c r="AN133" s="1265"/>
      <c r="AO133" s="1265"/>
      <c r="AP133" s="1265"/>
      <c r="AQ133" s="1265"/>
      <c r="AR133" s="1473">
        <v>0</v>
      </c>
    </row>
    <row s="1859" customFormat="1" customHeight="1" ht="17.25" hidden="1">
      <c r="A134" s="327"/>
      <c r="C134" s="215"/>
      <c r="D134" s="2141">
        <v>2</v>
      </c>
      <c r="E134" s="2149" t="s">
        <v>285</v>
      </c>
      <c r="F134" s="2151" t="s">
        <v>19</v>
      </c>
      <c r="G134" s="2149"/>
      <c r="H134" s="2154"/>
      <c r="I134" s="2156"/>
      <c r="J134" s="2158"/>
      <c r="K134" s="2143"/>
      <c r="L134" s="2143"/>
      <c r="M134" s="2143"/>
      <c r="N134" s="2145"/>
      <c r="O134" s="2143"/>
      <c r="P134" s="2143"/>
      <c r="Q134" s="2143"/>
      <c r="R134" s="2148"/>
      <c r="S134" s="2143"/>
      <c r="T134" s="1476"/>
      <c r="U134" s="1476"/>
      <c r="V134" s="1478"/>
      <c r="W134" s="1302"/>
      <c r="X134" s="1273"/>
      <c r="Y134" s="1273"/>
      <c r="Z134" s="1273"/>
      <c r="AA134" s="1273"/>
      <c r="AB134" s="1273"/>
      <c r="AC134" s="1273" t="s">
        <v>286</v>
      </c>
      <c r="AD134" s="1273" t="s">
        <v>287</v>
      </c>
      <c r="AE134" s="1273" t="s">
        <v>288</v>
      </c>
      <c r="AF134" s="1273" t="s">
        <v>289</v>
      </c>
      <c r="AG134" s="1273"/>
      <c r="AH134" s="1273" t="str">
        <f>IF($E$134=0,"",$E$134)</f>
        <v>Тариф на транспортировку сточных вод</v>
      </c>
      <c r="AI134" s="1273" t="str">
        <f>IF($G$134=0,"",$G$134)</f>
        <v/>
      </c>
      <c r="AJ134" s="1273" t="str">
        <f>IF($J$134=0,"",$J$134)</f>
        <v/>
      </c>
      <c r="AK134" s="1273" t="str">
        <f>IF($K$134="нет","без дифференциации",IF($N$134=0,"",$N$134))</f>
        <v/>
      </c>
      <c r="AL134" s="1273" t="str">
        <f>IF($O$134="нет","без дифференциации",IF($R$134=0,"",$R$134))</f>
        <v/>
      </c>
      <c r="AM134" s="1273" t="str">
        <f>IF($S$134="нет","без дифференциации",IF($V$134=0,"",$V$134))</f>
        <v/>
      </c>
      <c r="AN134" s="1778">
        <f>$I$134</f>
        <v>0</v>
      </c>
      <c r="AO134" s="1273" t="str">
        <f>$I$134&amp;"."&amp;$M$134</f>
        <v>.</v>
      </c>
      <c r="AP134" s="1265" t="str">
        <f>$I$134&amp;"."&amp;$M$134&amp;"."&amp;$Q$134</f>
        <v>..</v>
      </c>
      <c r="AQ134" s="1265" t="str">
        <f>$I$134&amp;"."&amp;$M$134&amp;"."&amp;$Q$134&amp;"."&amp;$U$134</f>
        <v>...</v>
      </c>
      <c r="AR134" s="1473">
        <v>0</v>
      </c>
    </row>
    <row s="1859" customFormat="1" customHeight="1" ht="17.25" hidden="1">
      <c r="A135" s="327"/>
      <c r="C135" s="326"/>
      <c r="D135" s="2141"/>
      <c r="E135" s="2149"/>
      <c r="F135" s="2152"/>
      <c r="G135" s="2149"/>
      <c r="H135" s="2155"/>
      <c r="I135" s="2157"/>
      <c r="J135" s="2159"/>
      <c r="K135" s="2144"/>
      <c r="L135" s="2144"/>
      <c r="M135" s="2144"/>
      <c r="N135" s="2146"/>
      <c r="O135" s="2144"/>
      <c r="P135" s="2144"/>
      <c r="Q135" s="2144"/>
      <c r="R135" s="2147"/>
      <c r="S135" s="2144"/>
      <c r="T135" s="1303"/>
      <c r="U135" s="1303"/>
      <c r="V135" s="1303"/>
      <c r="W135" s="1304"/>
      <c r="X135" s="1265"/>
      <c r="Y135" s="1265"/>
      <c r="Z135" s="1265"/>
      <c r="AA135" s="1265"/>
      <c r="AB135" s="1265"/>
      <c r="AC135" s="1265"/>
      <c r="AD135" s="1265"/>
      <c r="AE135" s="1265"/>
      <c r="AF135" s="1265"/>
      <c r="AG135" s="1265"/>
      <c r="AH135" s="1265"/>
      <c r="AI135" s="1265"/>
      <c r="AJ135" s="1265"/>
      <c r="AK135" s="1265"/>
      <c r="AL135" s="1265"/>
      <c r="AM135" s="1265"/>
      <c r="AN135" s="1265"/>
      <c r="AO135" s="1265"/>
      <c r="AP135" s="1265"/>
      <c r="AQ135" s="1265"/>
      <c r="AR135" s="1473">
        <v>0</v>
      </c>
    </row>
    <row s="1859" customFormat="1" customHeight="1" ht="17.25" hidden="1">
      <c r="A136" s="327"/>
      <c r="C136" s="326"/>
      <c r="D136" s="2142"/>
      <c r="E136" s="2150"/>
      <c r="F136" s="2152"/>
      <c r="G136" s="2150"/>
      <c r="H136" s="2155"/>
      <c r="I136" s="2157"/>
      <c r="J136" s="2160"/>
      <c r="K136" s="2144"/>
      <c r="L136" s="2144"/>
      <c r="M136" s="2144"/>
      <c r="N136" s="2147"/>
      <c r="O136" s="2144"/>
      <c r="P136" s="1477"/>
      <c r="Q136" s="1303"/>
      <c r="R136" s="1303"/>
      <c r="S136" s="335"/>
      <c r="T136" s="335"/>
      <c r="U136" s="335"/>
      <c r="V136" s="335"/>
      <c r="W136" s="1304"/>
      <c r="X136" s="1265"/>
      <c r="Y136" s="1265"/>
      <c r="Z136" s="1265"/>
      <c r="AA136" s="1265"/>
      <c r="AB136" s="1265"/>
      <c r="AC136" s="1265"/>
      <c r="AD136" s="1265"/>
      <c r="AE136" s="1265"/>
      <c r="AF136" s="1265"/>
      <c r="AG136" s="1265"/>
      <c r="AH136" s="1265"/>
      <c r="AI136" s="1265"/>
      <c r="AJ136" s="1265"/>
      <c r="AK136" s="1265"/>
      <c r="AL136" s="1265"/>
      <c r="AM136" s="1265"/>
      <c r="AN136" s="1265"/>
      <c r="AO136" s="1265"/>
      <c r="AP136" s="1265"/>
      <c r="AQ136" s="1265"/>
      <c r="AR136" s="1473">
        <v>0</v>
      </c>
    </row>
    <row s="1859" customFormat="1" customHeight="1" ht="17.25" hidden="1">
      <c r="A137" s="327"/>
      <c r="C137" s="326"/>
      <c r="D137" s="2142"/>
      <c r="E137" s="2150"/>
      <c r="F137" s="2152"/>
      <c r="G137" s="2150"/>
      <c r="H137" s="2155"/>
      <c r="I137" s="2157"/>
      <c r="J137" s="2160"/>
      <c r="K137" s="2144"/>
      <c r="L137" s="1303"/>
      <c r="M137" s="1303"/>
      <c r="N137" s="1303"/>
      <c r="O137" s="1303"/>
      <c r="P137" s="1303"/>
      <c r="Q137" s="1303"/>
      <c r="R137" s="1303"/>
      <c r="S137" s="335"/>
      <c r="T137" s="335"/>
      <c r="U137" s="335"/>
      <c r="V137" s="335"/>
      <c r="W137" s="1304"/>
      <c r="X137" s="1265"/>
      <c r="Y137" s="1265"/>
      <c r="Z137" s="1265"/>
      <c r="AA137" s="1265"/>
      <c r="AB137" s="1265"/>
      <c r="AC137" s="1265"/>
      <c r="AD137" s="1265"/>
      <c r="AE137" s="1265"/>
      <c r="AF137" s="1265"/>
      <c r="AG137" s="1265"/>
      <c r="AH137" s="1265"/>
      <c r="AI137" s="1265"/>
      <c r="AJ137" s="1265"/>
      <c r="AK137" s="1265"/>
      <c r="AL137" s="1265"/>
      <c r="AM137" s="1265"/>
      <c r="AN137" s="1265"/>
      <c r="AO137" s="1265"/>
      <c r="AP137" s="1265"/>
      <c r="AQ137" s="1265"/>
      <c r="AR137" s="1473">
        <v>0</v>
      </c>
    </row>
    <row s="1859" customFormat="1" customHeight="1" ht="17.25" hidden="1">
      <c r="A138" s="327"/>
      <c r="C138" s="326"/>
      <c r="D138" s="2142"/>
      <c r="E138" s="2150"/>
      <c r="F138" s="2153"/>
      <c r="G138" s="2150"/>
      <c r="H138" s="1305"/>
      <c r="I138" s="1306"/>
      <c r="J138" s="1306"/>
      <c r="K138" s="1306"/>
      <c r="L138" s="1306"/>
      <c r="M138" s="1306"/>
      <c r="N138" s="1306"/>
      <c r="O138" s="1306"/>
      <c r="P138" s="1306"/>
      <c r="Q138" s="1306"/>
      <c r="R138" s="1306"/>
      <c r="S138" s="1307"/>
      <c r="T138" s="1307"/>
      <c r="U138" s="1307"/>
      <c r="V138" s="1307"/>
      <c r="W138" s="1308"/>
      <c r="X138" s="1265"/>
      <c r="Y138" s="1265"/>
      <c r="Z138" s="1265"/>
      <c r="AA138" s="1265"/>
      <c r="AB138" s="1265"/>
      <c r="AC138" s="1265"/>
      <c r="AD138" s="1265"/>
      <c r="AE138" s="1265"/>
      <c r="AF138" s="1265"/>
      <c r="AG138" s="1265"/>
      <c r="AH138" s="1265"/>
      <c r="AI138" s="1265"/>
      <c r="AJ138" s="1265"/>
      <c r="AK138" s="1265"/>
      <c r="AL138" s="1265"/>
      <c r="AM138" s="1265"/>
      <c r="AN138" s="1265"/>
      <c r="AO138" s="1265"/>
      <c r="AP138" s="1265"/>
      <c r="AQ138" s="1265"/>
      <c r="AR138" s="1473">
        <v>0</v>
      </c>
    </row>
    <row s="1859" customFormat="1" customHeight="1" ht="17.25" hidden="1">
      <c r="A139" s="327"/>
      <c r="C139" s="215"/>
      <c r="D139" s="2141">
        <v>3</v>
      </c>
      <c r="E139" s="2149" t="s">
        <v>290</v>
      </c>
      <c r="F139" s="2151" t="s">
        <v>19</v>
      </c>
      <c r="G139" s="2149"/>
      <c r="H139" s="2154"/>
      <c r="I139" s="2156"/>
      <c r="J139" s="2158"/>
      <c r="K139" s="2143"/>
      <c r="L139" s="2143"/>
      <c r="M139" s="2143"/>
      <c r="N139" s="2145"/>
      <c r="O139" s="2143"/>
      <c r="P139" s="2143"/>
      <c r="Q139" s="2143"/>
      <c r="R139" s="2148"/>
      <c r="S139" s="2143"/>
      <c r="T139" s="1949"/>
      <c r="U139" s="1949"/>
      <c r="V139" s="1951"/>
      <c r="W139" s="1302"/>
      <c r="X139" s="1273"/>
      <c r="Y139" s="1273"/>
      <c r="Z139" s="1273"/>
      <c r="AA139" s="1273"/>
      <c r="AB139" s="1273"/>
      <c r="AC139" s="1273" t="s">
        <v>291</v>
      </c>
      <c r="AD139" s="1273" t="s">
        <v>292</v>
      </c>
      <c r="AE139" s="1273" t="s">
        <v>293</v>
      </c>
      <c r="AF139" s="1273" t="s">
        <v>294</v>
      </c>
      <c r="AG139" s="1273"/>
      <c r="AH139" s="1273" t="str">
        <f>IF($E$139=0,"",$E$139)</f>
        <v>Тариф на подключение (технологическое присоединение) к централизованной системе водоотведения</v>
      </c>
      <c r="AI139" s="1273" t="str">
        <f>IF($G$139=0,"",$G$139)</f>
        <v/>
      </c>
      <c r="AJ139" s="1273" t="str">
        <f>IF($J$139=0,"",$J$139)</f>
        <v/>
      </c>
      <c r="AK139" s="1273" t="str">
        <f>IF($K$139="нет","без дифференциации",IF($N$139=0,"",$N$139))</f>
        <v/>
      </c>
      <c r="AL139" s="1273" t="str">
        <f>IF($O$139="нет","без дифференциации",IF($R$139=0,"",$R$139))</f>
        <v/>
      </c>
      <c r="AM139" s="1273" t="str">
        <f>IF($S$139="нет","без дифференциации",IF($V$139=0,"",$V$139))</f>
        <v/>
      </c>
      <c r="AN139" s="1778">
        <f>$I$139</f>
        <v>0</v>
      </c>
      <c r="AO139" s="1273" t="str">
        <f>$I$139&amp;"."&amp;$M$139</f>
        <v>.</v>
      </c>
      <c r="AP139" s="1272" t="str">
        <f>$I$139&amp;"."&amp;$M$139&amp;"."&amp;$Q$139</f>
        <v>..</v>
      </c>
      <c r="AQ139" s="1272" t="str">
        <f>$I$139&amp;"."&amp;$M$139&amp;"."&amp;$Q$139&amp;"."&amp;$U$139</f>
        <v>...</v>
      </c>
      <c r="AR139" s="1473">
        <v>0</v>
      </c>
    </row>
    <row s="1859" customFormat="1" customHeight="1" ht="17.25" hidden="1">
      <c r="A140" s="327"/>
      <c r="C140" s="326"/>
      <c r="D140" s="2141"/>
      <c r="E140" s="2149"/>
      <c r="F140" s="2152"/>
      <c r="G140" s="2149"/>
      <c r="H140" s="2155"/>
      <c r="I140" s="2157"/>
      <c r="J140" s="2159"/>
      <c r="K140" s="2144"/>
      <c r="L140" s="2144"/>
      <c r="M140" s="2144"/>
      <c r="N140" s="2146"/>
      <c r="O140" s="2144"/>
      <c r="P140" s="2144"/>
      <c r="Q140" s="2144"/>
      <c r="R140" s="2147"/>
      <c r="S140" s="2144"/>
      <c r="T140" s="1954"/>
      <c r="U140" s="1954"/>
      <c r="V140" s="1954"/>
      <c r="W140" s="1955"/>
      <c r="X140" s="1272"/>
      <c r="Y140" s="1272"/>
      <c r="Z140" s="1272"/>
      <c r="AA140" s="1272"/>
      <c r="AB140" s="1272"/>
      <c r="AC140" s="1272"/>
      <c r="AD140" s="1272"/>
      <c r="AE140" s="1272"/>
      <c r="AF140" s="1272"/>
      <c r="AG140" s="1272"/>
      <c r="AH140" s="1272"/>
      <c r="AI140" s="1272"/>
      <c r="AJ140" s="1272"/>
      <c r="AK140" s="1272"/>
      <c r="AL140" s="1272"/>
      <c r="AM140" s="1272"/>
      <c r="AN140" s="1272"/>
      <c r="AO140" s="1272"/>
      <c r="AP140" s="1272"/>
      <c r="AQ140" s="1272"/>
      <c r="AR140" s="1473">
        <v>0</v>
      </c>
    </row>
    <row s="1859" customFormat="1" customHeight="1" ht="17.25" hidden="1">
      <c r="A141" s="327"/>
      <c r="C141" s="326"/>
      <c r="D141" s="2142"/>
      <c r="E141" s="2150"/>
      <c r="F141" s="2152"/>
      <c r="G141" s="2150"/>
      <c r="H141" s="2155"/>
      <c r="I141" s="2157"/>
      <c r="J141" s="2160"/>
      <c r="K141" s="2144"/>
      <c r="L141" s="2144"/>
      <c r="M141" s="2144"/>
      <c r="N141" s="2147"/>
      <c r="O141" s="2144"/>
      <c r="P141" s="1950"/>
      <c r="Q141" s="1954"/>
      <c r="R141" s="1954"/>
      <c r="S141" s="335"/>
      <c r="T141" s="335"/>
      <c r="U141" s="335"/>
      <c r="V141" s="335"/>
      <c r="W141" s="1955"/>
      <c r="X141" s="1272"/>
      <c r="Y141" s="1272"/>
      <c r="Z141" s="1272"/>
      <c r="AA141" s="1272"/>
      <c r="AB141" s="1272"/>
      <c r="AC141" s="1272"/>
      <c r="AD141" s="1272"/>
      <c r="AE141" s="1272"/>
      <c r="AF141" s="1272"/>
      <c r="AG141" s="1272"/>
      <c r="AH141" s="1272"/>
      <c r="AI141" s="1272"/>
      <c r="AJ141" s="1272"/>
      <c r="AK141" s="1272"/>
      <c r="AL141" s="1272"/>
      <c r="AM141" s="1272"/>
      <c r="AN141" s="1272"/>
      <c r="AO141" s="1272"/>
      <c r="AP141" s="1272"/>
      <c r="AQ141" s="1272"/>
      <c r="AR141" s="1473">
        <v>0</v>
      </c>
    </row>
    <row s="1859" customFormat="1" customHeight="1" ht="17.25" hidden="1">
      <c r="A142" s="327"/>
      <c r="C142" s="326"/>
      <c r="D142" s="2142"/>
      <c r="E142" s="2150"/>
      <c r="F142" s="2152"/>
      <c r="G142" s="2150"/>
      <c r="H142" s="2155"/>
      <c r="I142" s="2157"/>
      <c r="J142" s="2160"/>
      <c r="K142" s="2144"/>
      <c r="L142" s="1954"/>
      <c r="M142" s="1954"/>
      <c r="N142" s="1954"/>
      <c r="O142" s="1954"/>
      <c r="P142" s="1954"/>
      <c r="Q142" s="1954"/>
      <c r="R142" s="1954"/>
      <c r="S142" s="335"/>
      <c r="T142" s="335"/>
      <c r="U142" s="335"/>
      <c r="V142" s="335"/>
      <c r="W142" s="1955"/>
      <c r="X142" s="1272"/>
      <c r="Y142" s="1272"/>
      <c r="Z142" s="1272"/>
      <c r="AA142" s="1272"/>
      <c r="AB142" s="1272"/>
      <c r="AC142" s="1272"/>
      <c r="AD142" s="1272"/>
      <c r="AE142" s="1272"/>
      <c r="AF142" s="1272"/>
      <c r="AG142" s="1272"/>
      <c r="AH142" s="1272"/>
      <c r="AI142" s="1272"/>
      <c r="AJ142" s="1272"/>
      <c r="AK142" s="1272"/>
      <c r="AL142" s="1272"/>
      <c r="AM142" s="1272"/>
      <c r="AN142" s="1272"/>
      <c r="AO142" s="1272"/>
      <c r="AP142" s="1272"/>
      <c r="AQ142" s="1272"/>
      <c r="AR142" s="1473">
        <v>0</v>
      </c>
    </row>
    <row s="1859" customFormat="1" customHeight="1" ht="17.25" hidden="1">
      <c r="A143" s="327"/>
      <c r="C143" s="326"/>
      <c r="D143" s="2142"/>
      <c r="E143" s="2150"/>
      <c r="F143" s="2153"/>
      <c r="G143" s="2150"/>
      <c r="H143" s="1305"/>
      <c r="I143" s="1952"/>
      <c r="J143" s="1952"/>
      <c r="K143" s="1952"/>
      <c r="L143" s="1952"/>
      <c r="M143" s="1952"/>
      <c r="N143" s="1952"/>
      <c r="O143" s="1952"/>
      <c r="P143" s="1952"/>
      <c r="Q143" s="1952"/>
      <c r="R143" s="1952"/>
      <c r="S143" s="1307"/>
      <c r="T143" s="1307"/>
      <c r="U143" s="1307"/>
      <c r="V143" s="1307"/>
      <c r="W143" s="1953"/>
      <c r="X143" s="1272"/>
      <c r="Y143" s="1272"/>
      <c r="Z143" s="1272"/>
      <c r="AA143" s="1272"/>
      <c r="AB143" s="1272"/>
      <c r="AC143" s="1272"/>
      <c r="AD143" s="1272"/>
      <c r="AE143" s="1272"/>
      <c r="AF143" s="1272"/>
      <c r="AG143" s="1272"/>
      <c r="AH143" s="1272"/>
      <c r="AI143" s="1272"/>
      <c r="AJ143" s="1272"/>
      <c r="AK143" s="1272"/>
      <c r="AL143" s="1272"/>
      <c r="AM143" s="1272"/>
      <c r="AN143" s="1272"/>
      <c r="AO143" s="1272"/>
      <c r="AP143" s="1272"/>
      <c r="AQ143" s="1272"/>
      <c r="AR143" s="1473">
        <v>0</v>
      </c>
    </row>
    <row customHeight="1" ht="11.549999999999999">
      <c r="AR144" s="110">
        <v>11</v>
      </c>
    </row>
    <row customHeight="1" ht="11.549999999999999">
      <c r="AR145" s="110">
        <v>11</v>
      </c>
    </row>
    <row customHeight="1" ht="11.549999999999999">
      <c r="AR146" s="110">
        <v>11</v>
      </c>
    </row>
    <row customHeight="1" ht="11.549999999999999">
      <c r="E147" s="1356"/>
      <c r="AR147" s="110">
        <v>11</v>
      </c>
    </row>
    <row customHeight="1" ht="11.549999999999999">
      <c r="E148" s="1356"/>
      <c r="AR148" s="110">
        <v>11</v>
      </c>
    </row>
    <row customHeight="1" ht="11.549999999999999">
      <c r="E149" s="1356"/>
      <c r="AR149" s="110">
        <v>11</v>
      </c>
    </row>
    <row customHeight="1" ht="11.549999999999999">
      <c r="E150" s="1356"/>
      <c r="AR150" s="110">
        <v>11</v>
      </c>
    </row>
    <row customHeight="1" ht="11.549999999999999">
      <c r="E151" s="1356"/>
      <c r="AR151" s="110">
        <v>11</v>
      </c>
    </row>
    <row customHeight="1" ht="11.549999999999999">
      <c r="E152" s="1356"/>
      <c r="AR152" s="110">
        <v>11</v>
      </c>
    </row>
    <row customHeight="1" ht="11.549999999999999">
      <c r="E153" s="1356"/>
      <c r="AR153" s="110">
        <v>11</v>
      </c>
    </row>
    <row customHeight="1" ht="11.25" hidden="1">
      <c r="A154" s="159" t="s">
        <v>83</v>
      </c>
      <c r="B154" s="159">
        <v>0</v>
      </c>
      <c r="C154" s="110">
        <v>3</v>
      </c>
      <c r="D154" s="110">
        <v>6</v>
      </c>
      <c r="E154" s="110">
        <v>42</v>
      </c>
      <c r="F154" s="1289">
        <v>14</v>
      </c>
      <c r="G154" s="110">
        <v>42</v>
      </c>
      <c r="H154" s="110">
        <v>3</v>
      </c>
      <c r="I154" s="110">
        <v>5</v>
      </c>
      <c r="J154" s="110">
        <v>47</v>
      </c>
      <c r="K154" s="110">
        <v>3</v>
      </c>
      <c r="L154" s="110">
        <v>3</v>
      </c>
      <c r="M154" s="110">
        <v>5</v>
      </c>
      <c r="N154" s="110">
        <v>28</v>
      </c>
      <c r="O154" s="110">
        <v>3</v>
      </c>
      <c r="P154" s="110">
        <v>3</v>
      </c>
      <c r="Q154" s="110">
        <v>5</v>
      </c>
      <c r="R154" s="110">
        <v>34</v>
      </c>
      <c r="S154" s="288">
        <v>0</v>
      </c>
      <c r="T154" s="288">
        <v>0</v>
      </c>
      <c r="U154" s="288">
        <v>0</v>
      </c>
      <c r="V154" s="288">
        <v>0</v>
      </c>
      <c r="W154" s="110">
        <v>30</v>
      </c>
      <c r="X154" s="110">
        <v>3</v>
      </c>
      <c r="Y154" s="1265">
        <v>0</v>
      </c>
      <c r="Z154" s="1265">
        <v>0</v>
      </c>
      <c r="AA154" s="1265">
        <v>0</v>
      </c>
      <c r="AB154" s="1265">
        <v>0</v>
      </c>
      <c r="AC154" s="1265">
        <v>0</v>
      </c>
      <c r="AD154" s="1265">
        <v>0</v>
      </c>
      <c r="AE154" s="1265">
        <v>0</v>
      </c>
      <c r="AF154" s="1265">
        <v>0</v>
      </c>
      <c r="AG154" s="1265">
        <v>0</v>
      </c>
      <c r="AH154" s="1265">
        <v>0</v>
      </c>
      <c r="AI154" s="1265">
        <v>0</v>
      </c>
      <c r="AJ154" s="1265">
        <v>0</v>
      </c>
      <c r="AK154" s="1265">
        <v>0</v>
      </c>
      <c r="AL154" s="1265">
        <v>0</v>
      </c>
      <c r="AM154" s="1265">
        <v>0</v>
      </c>
      <c r="AN154" s="1265">
        <v>0</v>
      </c>
      <c r="AO154" s="1265">
        <v>0</v>
      </c>
      <c r="AP154" s="1265">
        <v>0</v>
      </c>
      <c r="AQ154" s="1265">
        <v>0</v>
      </c>
      <c r="AR154" s="110">
        <v>11</v>
      </c>
    </row>
  </sheetData>
  <sheetProtection sheet="1" formatColumns="0" formatRows="0" autoFilter="0" sort="1" insertRows="1" insertColumns="1" deleteRows="1" deleteColumns="1"/>
  <mergeCells count="406">
    <mergeCell ref="R23:R24"/>
    <mergeCell ref="S23:S24"/>
    <mergeCell ref="G23:G27"/>
    <mergeCell ref="H23:H26"/>
    <mergeCell ref="I23:I26"/>
    <mergeCell ref="J23:J26"/>
    <mergeCell ref="K23:K26"/>
    <mergeCell ref="L23:L25"/>
    <mergeCell ref="M23:M25"/>
    <mergeCell ref="N23:N25"/>
    <mergeCell ref="O23:O25"/>
    <mergeCell ref="M139:M141"/>
    <mergeCell ref="N139:N141"/>
    <mergeCell ref="O139:O141"/>
    <mergeCell ref="P139:P140"/>
    <mergeCell ref="Q139:Q140"/>
    <mergeCell ref="R139:R140"/>
    <mergeCell ref="S139:S140"/>
    <mergeCell ref="D139:D143"/>
    <mergeCell ref="E139:E143"/>
    <mergeCell ref="F139:F143"/>
    <mergeCell ref="G139:G143"/>
    <mergeCell ref="H139:H142"/>
    <mergeCell ref="I139:I142"/>
    <mergeCell ref="J139:J142"/>
    <mergeCell ref="K139:K142"/>
    <mergeCell ref="L139:L141"/>
    <mergeCell ref="D123:D127"/>
    <mergeCell ref="E123:E127"/>
    <mergeCell ref="F123:F127"/>
    <mergeCell ref="G123:G127"/>
    <mergeCell ref="H123:H126"/>
    <mergeCell ref="I123:I126"/>
    <mergeCell ref="J123:J126"/>
    <mergeCell ref="K123:K126"/>
    <mergeCell ref="L123:L125"/>
    <mergeCell ref="M123:M125"/>
    <mergeCell ref="N123:N125"/>
    <mergeCell ref="O123:O125"/>
    <mergeCell ref="P123:P124"/>
    <mergeCell ref="Q123:Q124"/>
    <mergeCell ref="R123:R124"/>
    <mergeCell ref="S123:S124"/>
    <mergeCell ref="D99:D111"/>
    <mergeCell ref="E99:E111"/>
    <mergeCell ref="F99:F111"/>
    <mergeCell ref="G99:G111"/>
    <mergeCell ref="S134:S135"/>
    <mergeCell ref="D134:D138"/>
    <mergeCell ref="E134:E138"/>
    <mergeCell ref="F134:F138"/>
    <mergeCell ref="G134:G138"/>
    <mergeCell ref="H134:H137"/>
    <mergeCell ref="I134:I137"/>
    <mergeCell ref="J134:J137"/>
    <mergeCell ref="K134:K137"/>
    <mergeCell ref="L134:L136"/>
    <mergeCell ref="H129:H132"/>
    <mergeCell ref="I129:I132"/>
    <mergeCell ref="J129:J132"/>
    <mergeCell ref="K129:K132"/>
    <mergeCell ref="L129:L131"/>
    <mergeCell ref="M129:M131"/>
    <mergeCell ref="N129:N131"/>
    <mergeCell ref="M134:M136"/>
    <mergeCell ref="N134:N136"/>
    <mergeCell ref="O134:O136"/>
    <mergeCell ref="P129:P130"/>
    <mergeCell ref="Q129:Q130"/>
    <mergeCell ref="R129:R130"/>
    <mergeCell ref="P134:P135"/>
    <mergeCell ref="Q134:Q135"/>
    <mergeCell ref="R134:R135"/>
    <mergeCell ref="S129:S130"/>
    <mergeCell ref="D129:D133"/>
    <mergeCell ref="E129:E133"/>
    <mergeCell ref="F129:F133"/>
    <mergeCell ref="G129:G133"/>
    <mergeCell ref="M118:M120"/>
    <mergeCell ref="N118:N120"/>
    <mergeCell ref="O118:O120"/>
    <mergeCell ref="P118:P119"/>
    <mergeCell ref="Q118:Q119"/>
    <mergeCell ref="R118:R119"/>
    <mergeCell ref="S118:S119"/>
    <mergeCell ref="D118:D122"/>
    <mergeCell ref="E118:E122"/>
    <mergeCell ref="F118:F122"/>
    <mergeCell ref="G118:G122"/>
    <mergeCell ref="H118:H121"/>
    <mergeCell ref="I118:I121"/>
    <mergeCell ref="J118:J121"/>
    <mergeCell ref="K118:K121"/>
    <mergeCell ref="L118:L120"/>
    <mergeCell ref="O129:O131"/>
    <mergeCell ref="R13:R14"/>
    <mergeCell ref="S13:S14"/>
    <mergeCell ref="M48:M50"/>
    <mergeCell ref="N48:N50"/>
    <mergeCell ref="O48:O50"/>
    <mergeCell ref="N38:N40"/>
    <mergeCell ref="D113:D117"/>
    <mergeCell ref="E113:E117"/>
    <mergeCell ref="F113:F117"/>
    <mergeCell ref="G113:G117"/>
    <mergeCell ref="H113:H116"/>
    <mergeCell ref="I113:I116"/>
    <mergeCell ref="J113:J116"/>
    <mergeCell ref="K113:K116"/>
    <mergeCell ref="L113:L115"/>
    <mergeCell ref="P53:P54"/>
    <mergeCell ref="Q53:Q54"/>
    <mergeCell ref="R53:R54"/>
    <mergeCell ref="S53:S54"/>
    <mergeCell ref="P48:P49"/>
    <mergeCell ref="Q48:Q49"/>
    <mergeCell ref="R48:R49"/>
    <mergeCell ref="S48:S49"/>
    <mergeCell ref="S28:S29"/>
    <mergeCell ref="S18:S19"/>
    <mergeCell ref="M113:M115"/>
    <mergeCell ref="N113:N115"/>
    <mergeCell ref="O113:O115"/>
    <mergeCell ref="P113:P114"/>
    <mergeCell ref="Q113:Q114"/>
    <mergeCell ref="R113:R114"/>
    <mergeCell ref="S113:S114"/>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99:M101"/>
    <mergeCell ref="N99:N101"/>
    <mergeCell ref="S99:S100"/>
    <mergeCell ref="H99:H102"/>
    <mergeCell ref="I99:I102"/>
    <mergeCell ref="J99:J102"/>
    <mergeCell ref="K99:K102"/>
    <mergeCell ref="L99:L101"/>
    <mergeCell ref="W99:W100"/>
    <mergeCell ref="O99:O101"/>
    <mergeCell ref="P99:P100"/>
    <mergeCell ref="Q99:Q100"/>
    <mergeCell ref="R99:R100"/>
    <mergeCell ref="H103:H106"/>
    <mergeCell ref="I103:I106"/>
    <mergeCell ref="J103:J106"/>
    <mergeCell ref="K103:K106"/>
    <mergeCell ref="L103:L105"/>
    <mergeCell ref="M103:M105"/>
    <mergeCell ref="N103:N105"/>
    <mergeCell ref="O103:O105"/>
    <mergeCell ref="P103:P104"/>
    <mergeCell ref="Q103:Q104"/>
    <mergeCell ref="R103:R104"/>
    <mergeCell ref="S103:S104"/>
    <mergeCell ref="W103:W104"/>
    <mergeCell ref="H107:H110"/>
    <mergeCell ref="I107:I110"/>
    <mergeCell ref="J107:J110"/>
    <mergeCell ref="K107:K110"/>
    <mergeCell ref="L107:L109"/>
    <mergeCell ref="M107:M109"/>
    <mergeCell ref="N107:N109"/>
    <mergeCell ref="O107:O109"/>
    <mergeCell ref="P107:P108"/>
    <mergeCell ref="Q107:Q108"/>
    <mergeCell ref="R107:R108"/>
    <mergeCell ref="S107:S108"/>
    <mergeCell ref="W107:W108"/>
  </mergeCells>
  <dataValidations count="60">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9:O140 O113:O114 S113:S114 O118:O119 S118:S119 K113:K114 K118:K119 K134:K135 O134:O135 K129:K130 O129:O130 S134:S135 O123:O124 S129:S130 O58:O59 S58:S59 K58:K59 K63:K64 O63:O64 S63:S64 F79:F102 F111 F113:F127 S123:S124 K123:K124 F129:F143 S139:S140 K139:K140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3:J114 R113:R114 V113:W113 J118:J119 R118:R119 V118:W118 J134:J135 R134:R135 V134:W134 J129:J130 R129:R130 V129:W129 J58:J59 R58:R59 V58:W58 J63:J64 R63:R64 V63:W63 J123:J124 R123:R124 V123:W123 J139:J140 R139:R140 V139:W139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3:N115 N118:N120 N134:N136 N129:N131 N58:N60 N63:N65 N123:N125 N139:N141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13:G127 G129:G143 G79:G102 G111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Для выбора выполните двойной щелчок левой клавиши мыши по соответствующей ячейке." sqref="K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O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V99">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Для выбора выполните двойной щелчок левой клавиши мыши по соответствующей ячейке." sqref="K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O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Для выбора выполните двойной щелчок левой клавиши мыши по соответствующей ячейке." sqref="K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6E338C-4D36-8629-74F6-89C5842F53DB}"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47.00390625" customWidth="1"/>
    <col min="6" max="6" style="1641" width="9.00390625" customWidth="1"/>
    <col min="7" max="7" style="1641" width="25.7109375" hidden="1" customWidth="1"/>
    <col min="8" max="8" style="1641" width="34.00390625" hidden="1" customWidth="1"/>
    <col min="9" max="9" style="1641" width="25.7109375" customWidth="1"/>
    <col min="10" max="10" style="1641" width="33.00390625" customWidth="1"/>
    <col min="11" max="11" style="1372" width="50.00390625" customWidth="1"/>
    <col min="12" max="20" style="1641" width="10.00390625" customWidth="1"/>
    <col min="21" max="21" style="681" width="10.00390625" customWidth="1"/>
    <col min="22" max="22" style="1641" width="10.57421875" hidden="1"/>
  </cols>
  <sheetData>
    <row s="1372" customFormat="1" customHeight="1" ht="22.5" hidden="1">
      <c r="C1" s="678"/>
      <c r="G1" s="423">
        <v>4</v>
      </c>
      <c r="I1" s="423">
        <v>4</v>
      </c>
      <c r="U1" s="426"/>
      <c r="V1" s="423" t="s">
        <v>14</v>
      </c>
    </row>
    <row s="1641" customFormat="1" customHeight="1" ht="15" hidden="1">
      <c r="A2" s="368"/>
      <c r="C2" s="182"/>
      <c r="D2" s="352"/>
      <c r="E2" s="679"/>
      <c r="F2" s="528"/>
      <c r="G2" s="622"/>
      <c r="H2" s="622"/>
      <c r="I2" s="622"/>
      <c r="J2" s="622"/>
      <c r="U2" s="680"/>
      <c r="V2" s="515">
        <v>0</v>
      </c>
    </row>
    <row s="1372" customFormat="1" customHeight="1" ht="15" hidden="1">
      <c r="C3" s="678"/>
      <c r="U3" s="426"/>
      <c r="V3" s="423">
        <v>0</v>
      </c>
    </row>
    <row customHeight="1" ht="15.75">
      <c r="C4" s="182"/>
      <c r="D4" s="515"/>
      <c r="E4" s="515"/>
      <c r="F4" s="515"/>
      <c r="G4" s="515"/>
      <c r="H4" s="515"/>
      <c r="I4" s="515"/>
      <c r="J4" s="515"/>
      <c r="V4" s="511">
        <v>15</v>
      </c>
    </row>
    <row customHeight="1" ht="66">
      <c r="C5" s="182"/>
      <c r="D5" s="2243" t="s">
        <v>1201</v>
      </c>
      <c r="E5" s="2243"/>
      <c r="F5" s="2243"/>
      <c r="G5" s="2243"/>
      <c r="H5" s="2243"/>
      <c r="I5" s="2243"/>
      <c r="J5" s="2243"/>
      <c r="V5" s="511">
        <v>63</v>
      </c>
    </row>
    <row customHeight="1" ht="15.75">
      <c r="C6" s="182"/>
      <c r="D6" s="2182" t="str">
        <f>IF(org=0,"Не определено",org)</f>
        <v>АО «ДГК» СП «Нерюнгринская ГРЭС»</v>
      </c>
      <c r="E6" s="2182"/>
      <c r="F6" s="2182"/>
      <c r="G6" s="2182"/>
      <c r="H6" s="2182"/>
      <c r="I6" s="2182"/>
      <c r="J6" s="2182"/>
      <c r="K6" s="543"/>
      <c r="V6" s="511">
        <v>15</v>
      </c>
    </row>
    <row customHeight="1" ht="15.75">
      <c r="C7" s="182"/>
      <c r="D7" s="758"/>
      <c r="E7" s="515"/>
      <c r="F7" s="515"/>
      <c r="G7" s="543">
        <v>22</v>
      </c>
      <c r="I7" s="543">
        <v>1</v>
      </c>
      <c r="J7" s="758"/>
      <c r="V7" s="511">
        <v>15</v>
      </c>
    </row>
    <row s="1641" customFormat="1" customHeight="1" ht="1.05">
      <c r="A8" s="765"/>
      <c r="C8" s="182"/>
      <c r="D8" s="515"/>
      <c r="E8" s="515"/>
      <c r="F8" s="515"/>
      <c r="G8" s="543"/>
      <c r="H8" s="758"/>
      <c r="I8" s="543" t="s">
        <v>119</v>
      </c>
      <c r="J8" s="758"/>
      <c r="K8" s="423"/>
      <c r="U8" s="681"/>
      <c r="V8" s="764">
        <v>1</v>
      </c>
    </row>
    <row customHeight="1" ht="15.75">
      <c r="C9" s="182"/>
      <c r="D9" s="717"/>
      <c r="E9" s="2373" t="s">
        <v>107</v>
      </c>
      <c r="F9" s="2374"/>
      <c r="G9" s="2401" t="str">
        <f>IF(G8="","",INDEX(DIFFERENTIATION_UNMERGE_VD,MATCH(G8,DIFFERENTIATION_ID_DIFF,0)))</f>
        <v/>
      </c>
      <c r="H9" s="2402"/>
      <c r="I9" s="2401">
        <f>IF(I8="","",INDEX(DIFFERENTIATION_UNMERGE_VD,MATCH(I8,DIFFERENTIATION_ID_DIFF,0)))</f>
        <v>0</v>
      </c>
      <c r="J9" s="2402"/>
      <c r="K9" s="2181" t="s">
        <v>317</v>
      </c>
      <c r="V9" s="511">
        <v>15</v>
      </c>
    </row>
    <row s="1641" customFormat="1" customHeight="1" ht="15.75">
      <c r="A10" s="765"/>
      <c r="C10" s="182"/>
      <c r="D10" s="717"/>
      <c r="E10" s="2373" t="s">
        <v>601</v>
      </c>
      <c r="F10" s="2374"/>
      <c r="G10" s="2401" t="str">
        <f>IF(G8="","",INDEX(DIFFERENTIATION_UNMERGE_AREA,MATCH(G8,DIFFERENTIATION_ID_DIFF,0)))</f>
        <v/>
      </c>
      <c r="H10" s="2402"/>
      <c r="I10" s="2401" t="str">
        <f>IF(I8="","",INDEX(DIFFERENTIATION_UNMERGE_AREA,MATCH(I8,DIFFERENTIATION_ID_DIFF,0)))</f>
        <v/>
      </c>
      <c r="J10" s="2402"/>
      <c r="K10" s="2205"/>
      <c r="U10" s="681"/>
      <c r="V10" s="764">
        <v>15</v>
      </c>
    </row>
    <row s="1641" customFormat="1" customHeight="1" ht="15.75">
      <c r="A11" s="765"/>
      <c r="C11" s="182"/>
      <c r="D11" s="717"/>
      <c r="E11" s="2373" t="s">
        <v>602</v>
      </c>
      <c r="F11" s="2374"/>
      <c r="G11" s="2401" t="str">
        <f>IF(G8="","",INDEX(DIFFERENTIATION_UNMERGE_SYSTEM,MATCH(G8,DIFFERENTIATION_ID_DIFF,0)))</f>
        <v/>
      </c>
      <c r="H11" s="2402"/>
      <c r="I11" s="2401" t="str">
        <f>IF(I8="","",INDEX(DIFFERENTIATION_UNMERGE_SYSTEM,MATCH(I8,DIFFERENTIATION_ID_DIFF,0)))</f>
        <v>без дифференциации</v>
      </c>
      <c r="J11" s="2402"/>
      <c r="K11" s="2205"/>
      <c r="U11" s="681"/>
      <c r="V11" s="764">
        <v>15</v>
      </c>
    </row>
    <row s="1641" customFormat="1" customHeight="1" ht="15.75">
      <c r="A12" s="765"/>
      <c r="C12" s="182"/>
      <c r="D12" s="2375" t="s">
        <v>316</v>
      </c>
      <c r="E12" s="2376"/>
      <c r="F12" s="2376"/>
      <c r="G12" s="893"/>
      <c r="H12" s="893"/>
      <c r="I12" s="893"/>
      <c r="J12" s="893"/>
      <c r="K12" s="2205"/>
      <c r="U12" s="681"/>
      <c r="V12" s="764">
        <v>15</v>
      </c>
    </row>
    <row customHeight="1" ht="35.699999999999996">
      <c r="C13" s="182"/>
      <c r="D13" s="811" t="s">
        <v>89</v>
      </c>
      <c r="E13" s="813" t="s">
        <v>318</v>
      </c>
      <c r="F13" s="813" t="s">
        <v>603</v>
      </c>
      <c r="G13" s="814" t="s">
        <v>319</v>
      </c>
      <c r="H13" s="813" t="s">
        <v>406</v>
      </c>
      <c r="I13" s="814" t="s">
        <v>319</v>
      </c>
      <c r="J13" s="813" t="s">
        <v>406</v>
      </c>
      <c r="K13" s="2238"/>
      <c r="V13" s="511">
        <v>34</v>
      </c>
    </row>
    <row customHeight="1" ht="15" hidden="1">
      <c r="C14" s="182"/>
      <c r="D14" s="599" t="s">
        <v>111</v>
      </c>
      <c r="E14" s="599" t="s">
        <v>112</v>
      </c>
      <c r="F14" s="599" t="s">
        <v>91</v>
      </c>
      <c r="G14" s="665" t="str">
        <f>G1&amp;".1"</f>
        <v>4.1</v>
      </c>
      <c r="H14" s="665"/>
      <c r="I14" s="665" t="str">
        <f>I1&amp;".1"</f>
        <v>4.1</v>
      </c>
      <c r="J14" s="665"/>
      <c r="K14" s="295"/>
      <c r="V14" s="511">
        <v>0</v>
      </c>
    </row>
    <row customHeight="1" ht="22.5" hidden="1">
      <c r="A15" s="511"/>
      <c r="C15" s="532"/>
      <c r="D15" s="527">
        <v>1</v>
      </c>
      <c r="E15" s="683" t="s">
        <v>845</v>
      </c>
      <c r="F15" s="527" t="s">
        <v>846</v>
      </c>
      <c r="G15" s="684"/>
      <c r="H15" s="684"/>
      <c r="I15" s="684"/>
      <c r="J15" s="684"/>
      <c r="K15" s="295" t="s">
        <v>847</v>
      </c>
      <c r="V15" s="511">
        <v>0</v>
      </c>
    </row>
    <row customHeight="1" ht="22.5" hidden="1">
      <c r="A16" s="511"/>
      <c r="C16" s="532"/>
      <c r="D16" s="527">
        <v>2</v>
      </c>
      <c r="E16" s="285" t="s">
        <v>848</v>
      </c>
      <c r="F16" s="527" t="s">
        <v>849</v>
      </c>
      <c r="G16" s="684"/>
      <c r="H16" s="684"/>
      <c r="I16" s="684"/>
      <c r="J16" s="684"/>
      <c r="K16" s="295" t="s">
        <v>850</v>
      </c>
      <c r="V16" s="511">
        <v>0</v>
      </c>
    </row>
    <row customHeight="1" ht="123.75" hidden="1">
      <c r="A17" s="511"/>
      <c r="C17" s="532"/>
      <c r="D17" s="527">
        <v>3</v>
      </c>
      <c r="E17" s="285" t="s">
        <v>1202</v>
      </c>
      <c r="F17" s="527" t="s">
        <v>322</v>
      </c>
      <c r="G17" s="684"/>
      <c r="H17" s="684"/>
      <c r="I17" s="684"/>
      <c r="J17" s="684"/>
      <c r="K17" s="295" t="s">
        <v>1203</v>
      </c>
      <c r="V17" s="511">
        <v>0</v>
      </c>
    </row>
    <row customHeight="1" ht="48.29999999999999">
      <c r="A18" s="511"/>
      <c r="C18" s="532"/>
      <c r="D18" s="527">
        <v>3</v>
      </c>
      <c r="E18" s="285" t="s">
        <v>851</v>
      </c>
      <c r="F18" s="527" t="s">
        <v>322</v>
      </c>
      <c r="G18" s="815" t="s">
        <v>322</v>
      </c>
      <c r="H18" s="816" t="s">
        <v>322</v>
      </c>
      <c r="I18" s="527" t="s">
        <v>322</v>
      </c>
      <c r="J18" s="584" t="s">
        <v>322</v>
      </c>
      <c r="K18" s="295" t="s">
        <v>1204</v>
      </c>
      <c r="V18" s="511">
        <v>46</v>
      </c>
    </row>
    <row customHeight="1" ht="35.699999999999996">
      <c r="A19" s="511"/>
      <c r="C19" s="532"/>
      <c r="D19" s="545" t="s">
        <v>340</v>
      </c>
      <c r="E19" s="565" t="s">
        <v>853</v>
      </c>
      <c r="F19" s="527" t="s">
        <v>854</v>
      </c>
      <c r="G19" s="823"/>
      <c r="H19" s="112"/>
      <c r="I19" s="823"/>
      <c r="J19" s="824"/>
      <c r="K19" s="685"/>
      <c r="V19" s="511">
        <v>34</v>
      </c>
    </row>
    <row customHeight="1" ht="35.699999999999996">
      <c r="A20" s="511"/>
      <c r="C20" s="532"/>
      <c r="D20" s="1896" t="s">
        <v>348</v>
      </c>
      <c r="E20" s="565" t="s">
        <v>855</v>
      </c>
      <c r="F20" s="527" t="s">
        <v>856</v>
      </c>
      <c r="G20" s="823"/>
      <c r="H20" s="112"/>
      <c r="I20" s="823"/>
      <c r="J20" s="112"/>
      <c r="K20" s="685"/>
      <c r="V20" s="511">
        <v>34</v>
      </c>
    </row>
    <row customHeight="1" ht="48.29999999999999">
      <c r="A21" s="511"/>
      <c r="C21" s="532"/>
      <c r="D21" s="1896" t="s">
        <v>350</v>
      </c>
      <c r="E21" s="565" t="s">
        <v>857</v>
      </c>
      <c r="F21" s="527" t="s">
        <v>608</v>
      </c>
      <c r="G21" s="686"/>
      <c r="H21" s="112"/>
      <c r="I21" s="686"/>
      <c r="J21" s="112"/>
      <c r="K21" s="685"/>
      <c r="V21" s="511">
        <v>46</v>
      </c>
    </row>
    <row customHeight="1" ht="67.5" hidden="1">
      <c r="A22" s="511"/>
      <c r="C22" s="532"/>
      <c r="D22" s="527">
        <v>5</v>
      </c>
      <c r="E22" s="285" t="s">
        <v>1205</v>
      </c>
      <c r="F22" s="527" t="s">
        <v>595</v>
      </c>
      <c r="G22" s="687"/>
      <c r="H22" s="688"/>
      <c r="I22" s="687"/>
      <c r="J22" s="688"/>
      <c r="K22" s="295" t="s">
        <v>1206</v>
      </c>
      <c r="V22" s="511">
        <v>0</v>
      </c>
    </row>
    <row customHeight="1" ht="33.75" hidden="1">
      <c r="C23" s="457"/>
      <c r="D23" s="527">
        <v>6</v>
      </c>
      <c r="E23" s="285" t="s">
        <v>1207</v>
      </c>
      <c r="F23" s="527" t="s">
        <v>1208</v>
      </c>
      <c r="G23" s="687"/>
      <c r="H23" s="687"/>
      <c r="I23" s="687"/>
      <c r="J23" s="687"/>
      <c r="K23" s="295" t="s">
        <v>1209</v>
      </c>
      <c r="V23" s="511">
        <v>0</v>
      </c>
    </row>
    <row customHeight="1" ht="15.75">
      <c r="V24" s="511">
        <v>15</v>
      </c>
    </row>
    <row customHeight="1" ht="15.75">
      <c r="V25" s="511">
        <v>15</v>
      </c>
    </row>
    <row customHeight="1" ht="15.75">
      <c r="V26" s="511">
        <v>15</v>
      </c>
    </row>
    <row customHeight="1" ht="15.75">
      <c r="V27" s="511">
        <v>15</v>
      </c>
    </row>
    <row customHeight="1" ht="15.75">
      <c r="V28" s="511">
        <v>15</v>
      </c>
    </row>
    <row customHeight="1" ht="15.75">
      <c r="J29" s="825"/>
      <c r="V29" s="511">
        <v>15</v>
      </c>
    </row>
    <row customHeight="1" ht="22.5" hidden="1">
      <c r="A30" s="455" t="s">
        <v>83</v>
      </c>
      <c r="B30" s="511">
        <v>0</v>
      </c>
      <c r="C30" s="689">
        <v>4</v>
      </c>
      <c r="D30" s="511">
        <v>6</v>
      </c>
      <c r="E30" s="511">
        <v>47</v>
      </c>
      <c r="F30" s="511">
        <v>9</v>
      </c>
      <c r="G30" s="764">
        <v>0</v>
      </c>
      <c r="H30" s="764">
        <v>0</v>
      </c>
      <c r="I30" s="511">
        <v>25</v>
      </c>
      <c r="J30" s="511">
        <v>33</v>
      </c>
      <c r="K30" s="423">
        <v>50</v>
      </c>
      <c r="L30" s="511">
        <v>10</v>
      </c>
      <c r="M30" s="511">
        <v>10</v>
      </c>
      <c r="N30" s="511">
        <v>10</v>
      </c>
      <c r="O30" s="511">
        <v>10</v>
      </c>
      <c r="P30" s="511">
        <v>10</v>
      </c>
      <c r="Q30" s="511">
        <v>10</v>
      </c>
      <c r="R30" s="511">
        <v>10</v>
      </c>
      <c r="S30" s="511">
        <v>10</v>
      </c>
      <c r="T30" s="511">
        <v>10</v>
      </c>
      <c r="U30" s="681">
        <v>10</v>
      </c>
      <c r="V30" s="511">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C05BE58-073C-6D62-CFCB-196A84B0099A}"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8" width="32.57421875" customWidth="1"/>
    <col min="2" max="2" style="1856" width="11.00390625" customWidth="1"/>
    <col min="3" max="3" style="1856" width="9.140625"/>
    <col min="4" max="4" style="1856" width="26.57421875" customWidth="1"/>
    <col min="5" max="5" style="1829" width="36.8515625" customWidth="1"/>
    <col min="6" max="6" style="1829" width="23.57421875" customWidth="1"/>
    <col min="7" max="7" style="1829" width="31.421875" customWidth="1"/>
    <col min="8" max="8" style="1829" width="40.8515625" customWidth="1"/>
    <col min="9" max="9" style="1829" width="14.57421875" customWidth="1"/>
    <col min="10" max="10" style="1829" width="26.8515625" customWidth="1"/>
    <col min="11" max="11" style="1829" width="50.00390625" customWidth="1"/>
    <col min="12" max="12" style="1829" width="52.421875" customWidth="1"/>
    <col min="13" max="13" style="1829" width="10.7109375" customWidth="1"/>
    <col min="14" max="14" style="1829" width="55.140625" customWidth="1"/>
    <col min="15" max="15" style="1829" width="31.8515625" customWidth="1"/>
    <col min="16" max="16" style="1829" width="23.8515625" customWidth="1"/>
    <col min="17" max="17" style="1829" width="46.57421875" customWidth="1"/>
    <col min="18" max="18" style="1829" width="24.00390625" customWidth="1"/>
    <col min="19" max="19" style="1829" width="20.57421875" customWidth="1"/>
    <col min="20" max="20" style="1829" width="22.00390625" customWidth="1"/>
    <col min="21" max="22" style="1829" width="26.421875" customWidth="1"/>
    <col min="23" max="23" style="1829" width="8.28125" hidden="1" customWidth="1"/>
    <col min="24" max="24" style="1829" width="59.7109375" customWidth="1"/>
    <col min="25" max="25" style="1829" width="49.140625" customWidth="1"/>
    <col min="26" max="26" style="1829" width="11.140625" customWidth="1"/>
    <col min="27" max="30" style="1829" width="29.00390625" customWidth="1"/>
    <col min="31" max="31" style="1829" width="9.140625"/>
    <col min="32" max="32" style="1829" width="34.7109375" customWidth="1"/>
    <col min="33" max="33" style="1829" width="9.140625"/>
    <col min="34" max="35" style="1829" width="34.421875" customWidth="1"/>
    <col min="36" max="36" style="1829" width="9.140625"/>
    <col min="37" max="37" style="1829" width="24.57421875" customWidth="1"/>
    <col min="38" max="38" style="1829" width="9.140625"/>
    <col min="39" max="39" style="1829" width="26.140625" customWidth="1"/>
    <col min="40" max="40" style="1829" width="1.7109375" customWidth="1"/>
    <col min="41" max="41" style="1829" width="9.140625"/>
    <col min="42" max="43" style="1829" width="47.8515625" customWidth="1"/>
    <col min="44" max="44" style="1829" width="1.7109375" customWidth="1"/>
    <col min="45" max="45" style="1829" width="21.421875" customWidth="1"/>
    <col min="46" max="46" style="1829" width="1.7109375" customWidth="1"/>
    <col min="47" max="47" style="1829" width="31.28125" customWidth="1"/>
    <col min="48" max="48" style="1829" width="1.7109375" customWidth="1"/>
    <col min="49" max="50" style="1829" width="9.140625"/>
    <col min="51" max="51" style="1829" width="3.7109375" customWidth="1"/>
    <col min="52" max="52" style="1829" width="60.8515625" customWidth="1"/>
    <col min="53" max="53" style="1829" width="49.28125" customWidth="1"/>
    <col min="54" max="54" style="1829" width="35.140625" customWidth="1"/>
    <col min="55" max="55" style="1829" width="9.140625"/>
    <col min="56" max="56" style="1829" width="1.7109375" customWidth="1"/>
    <col min="57" max="57" style="1072" width="12.57421875" customWidth="1"/>
    <col min="58" max="58" style="1072" width="14.28125" customWidth="1"/>
    <col min="59" max="59" style="1829" width="30.7109375" customWidth="1"/>
    <col min="60" max="60" style="1846" width="40.7109375" customWidth="1"/>
    <col min="61" max="61" style="1846" width="15.00390625" customWidth="1"/>
    <col min="62" max="62" style="1846" width="40.7109375" customWidth="1"/>
    <col min="63" max="63" style="1846" width="2.7109375" customWidth="1"/>
    <col min="64" max="64" style="1846" width="44.7109375" customWidth="1"/>
    <col min="65" max="65" style="1846" width="2.7109375" customWidth="1"/>
    <col min="66" max="66" style="1846" width="40.7109375" customWidth="1"/>
    <col min="67" max="68" style="1829" width="9.140625"/>
    <col min="69" max="69" style="1829" width="18.140625" customWidth="1"/>
    <col min="70" max="70" style="1829" width="57.8515625" customWidth="1"/>
    <col min="71" max="71" style="1829" width="1.7109375" customWidth="1"/>
    <col min="72" max="72" style="1829" width="22.57421875" customWidth="1"/>
    <col min="73" max="73" style="1829" width="57.8515625" customWidth="1"/>
    <col min="74" max="74" style="1829" width="1.7109375" customWidth="1"/>
    <col min="75" max="75" style="1829" width="22.57421875" customWidth="1"/>
    <col min="76" max="76" style="1829" width="57.8515625" customWidth="1"/>
    <col min="77" max="77" style="1829" width="1.7109375" customWidth="1"/>
    <col min="78" max="78" style="1829" width="22.57421875" customWidth="1"/>
    <col min="79" max="79" style="1829" width="57.8515625" customWidth="1"/>
    <col min="80" max="81" style="1829" width="9.140625"/>
    <col min="82" max="82" style="1829" width="49.57421875" customWidth="1"/>
  </cols>
  <sheetData>
    <row s="1433" customFormat="1" customHeight="1" ht="11.25">
      <c r="A1" s="1073" t="s">
        <v>1210</v>
      </c>
      <c r="B1" s="1073" t="s">
        <v>1211</v>
      </c>
      <c r="C1" s="1073" t="s">
        <v>1212</v>
      </c>
      <c r="D1" s="1073" t="s">
        <v>1213</v>
      </c>
      <c r="E1" s="1073" t="s">
        <v>1214</v>
      </c>
      <c r="F1" s="1073" t="s">
        <v>1215</v>
      </c>
      <c r="G1" s="1073" t="s">
        <v>1216</v>
      </c>
      <c r="H1" s="1073" t="s">
        <v>1217</v>
      </c>
      <c r="I1" s="1073" t="s">
        <v>1218</v>
      </c>
      <c r="J1" s="1073" t="s">
        <v>1219</v>
      </c>
      <c r="K1" s="1073" t="s">
        <v>1220</v>
      </c>
      <c r="L1" s="1073" t="s">
        <v>1221</v>
      </c>
      <c r="M1" s="1073"/>
      <c r="N1" s="1073" t="s">
        <v>1222</v>
      </c>
      <c r="O1" s="1073" t="s">
        <v>1223</v>
      </c>
      <c r="P1" s="1073" t="s">
        <v>1224</v>
      </c>
      <c r="Q1" s="1073" t="s">
        <v>1225</v>
      </c>
      <c r="R1" s="1073" t="s">
        <v>1226</v>
      </c>
      <c r="S1" s="1073" t="s">
        <v>1227</v>
      </c>
      <c r="T1" s="1073" t="s">
        <v>1228</v>
      </c>
      <c r="U1" s="1073" t="s">
        <v>1229</v>
      </c>
      <c r="V1" s="1073"/>
      <c r="W1" s="803" t="s">
        <v>1230</v>
      </c>
      <c r="X1" s="1073" t="s">
        <v>1231</v>
      </c>
      <c r="Y1" s="1073" t="s">
        <v>1232</v>
      </c>
      <c r="Z1" s="1073"/>
      <c r="AA1" s="1073" t="s">
        <v>1233</v>
      </c>
      <c r="AB1" s="1073"/>
      <c r="AC1" s="1073" t="s">
        <v>1234</v>
      </c>
      <c r="AD1" s="1073"/>
      <c r="AF1" s="1073" t="s">
        <v>1235</v>
      </c>
      <c r="AH1" s="1073" t="s">
        <v>1236</v>
      </c>
      <c r="AI1" s="1073" t="s">
        <v>1237</v>
      </c>
      <c r="AK1" s="1073" t="s">
        <v>1238</v>
      </c>
      <c r="AM1" s="1073" t="s">
        <v>1239</v>
      </c>
      <c r="AP1" s="1073" t="s">
        <v>1240</v>
      </c>
      <c r="AQ1" s="1073" t="s">
        <v>1241</v>
      </c>
      <c r="AS1" s="1073" t="s">
        <v>1242</v>
      </c>
      <c r="AU1" s="1073" t="s">
        <v>1243</v>
      </c>
      <c r="AW1" s="1073" t="s">
        <v>1244</v>
      </c>
      <c r="AX1" s="1073" t="s">
        <v>1245</v>
      </c>
      <c r="AZ1" s="1158" t="s">
        <v>1246</v>
      </c>
      <c r="BB1" s="1073" t="s">
        <v>1247</v>
      </c>
      <c r="BC1" s="1073"/>
      <c r="BE1" s="1073" t="s">
        <v>1248</v>
      </c>
      <c r="BF1" s="1073" t="s">
        <v>1249</v>
      </c>
      <c r="BH1" s="1075" t="s">
        <v>844</v>
      </c>
      <c r="BI1" s="1076"/>
      <c r="BJ1" s="1077" t="s">
        <v>1250</v>
      </c>
      <c r="BK1" s="1076"/>
      <c r="BL1" s="1078" t="s">
        <v>943</v>
      </c>
      <c r="BM1" s="1076"/>
      <c r="BN1" s="1079" t="s">
        <v>1251</v>
      </c>
      <c r="BS1" s="1433"/>
    </row>
    <row customHeight="1" ht="11.25">
      <c r="A2" s="1080" t="s">
        <v>1252</v>
      </c>
      <c r="B2" s="1081">
        <v>2000</v>
      </c>
      <c r="C2" s="1081">
        <v>2022</v>
      </c>
      <c r="D2" s="1081" t="s">
        <v>62</v>
      </c>
      <c r="E2" s="1082" t="s">
        <v>1253</v>
      </c>
      <c r="F2" s="1082" t="s">
        <v>1254</v>
      </c>
      <c r="G2" s="1082" t="s">
        <v>1255</v>
      </c>
      <c r="H2" s="1083" t="s">
        <v>56</v>
      </c>
      <c r="I2" s="1082" t="s">
        <v>111</v>
      </c>
      <c r="J2" s="1082" t="s">
        <v>1256</v>
      </c>
      <c r="K2" s="1084" t="s">
        <v>1257</v>
      </c>
      <c r="L2" s="1085"/>
      <c r="M2" s="1084">
        <v>1</v>
      </c>
      <c r="N2" s="1168" t="s">
        <v>1258</v>
      </c>
      <c r="O2" s="1083" t="s">
        <v>1259</v>
      </c>
      <c r="P2" s="1086" t="s">
        <v>37</v>
      </c>
      <c r="Q2" s="1087" t="s">
        <v>1260</v>
      </c>
      <c r="R2" s="149" t="s">
        <v>1261</v>
      </c>
      <c r="S2" s="149" t="s">
        <v>1262</v>
      </c>
      <c r="T2" s="1088" t="s">
        <v>1263</v>
      </c>
      <c r="U2" s="1085" t="s">
        <v>1264</v>
      </c>
      <c r="V2" s="1089">
        <v>1</v>
      </c>
      <c r="W2" s="1090"/>
      <c r="X2" s="1090" t="s">
        <v>1265</v>
      </c>
      <c r="Y2" s="1081" t="s">
        <v>1266</v>
      </c>
      <c r="Z2" s="1091"/>
      <c r="AA2" s="1081" t="s">
        <v>1267</v>
      </c>
      <c r="AB2" s="1092" t="s">
        <v>1267</v>
      </c>
      <c r="AC2" s="1081" t="s">
        <v>1268</v>
      </c>
      <c r="AD2" s="1092" t="s">
        <v>1268</v>
      </c>
      <c r="AF2" s="1083" t="s">
        <v>1264</v>
      </c>
      <c r="AH2" s="1082" t="s">
        <v>1269</v>
      </c>
      <c r="AI2" s="1082" t="s">
        <v>1269</v>
      </c>
      <c r="AK2" s="1082" t="s">
        <v>1270</v>
      </c>
      <c r="AM2" s="1082" t="s">
        <v>1271</v>
      </c>
      <c r="AP2" s="1093" t="s">
        <v>1265</v>
      </c>
      <c r="AQ2" s="1094" t="s">
        <v>1265</v>
      </c>
      <c r="AS2" s="1081" t="s">
        <v>1272</v>
      </c>
      <c r="AU2" s="1126" t="s">
        <v>532</v>
      </c>
      <c r="AW2" s="1126" t="s">
        <v>1273</v>
      </c>
      <c r="AX2" s="1126" t="s">
        <v>1273</v>
      </c>
      <c r="AZ2" s="1126" t="s">
        <v>1274</v>
      </c>
      <c r="BB2" s="1126" t="s">
        <v>1275</v>
      </c>
      <c r="BC2" s="1126" t="s">
        <v>1276</v>
      </c>
      <c r="BE2" s="1126">
        <v>2000</v>
      </c>
      <c r="BF2" s="1126" t="s">
        <v>1277</v>
      </c>
    </row>
    <row customHeight="1" ht="11.25">
      <c r="A3" s="1080" t="s">
        <v>1278</v>
      </c>
      <c r="B3" s="1081">
        <v>2001</v>
      </c>
      <c r="C3" s="1081">
        <v>2023</v>
      </c>
      <c r="D3" s="1081" t="s">
        <v>19</v>
      </c>
      <c r="E3" s="1082" t="s">
        <v>1279</v>
      </c>
      <c r="F3" s="1082" t="s">
        <v>1280</v>
      </c>
      <c r="G3" s="1082" t="s">
        <v>1281</v>
      </c>
      <c r="H3" s="1083" t="s">
        <v>1282</v>
      </c>
      <c r="I3" s="1082" t="s">
        <v>112</v>
      </c>
      <c r="J3" s="1082" t="s">
        <v>593</v>
      </c>
      <c r="K3" s="1084" t="s">
        <v>1283</v>
      </c>
      <c r="L3" s="1085">
        <f>_xlfn.IFERROR(MATCH(K3,OFFER_METHOD,0),0)</f>
        <v>0</v>
      </c>
      <c r="M3" s="1084">
        <v>2</v>
      </c>
      <c r="N3" s="1168" t="s">
        <v>1284</v>
      </c>
      <c r="O3" s="1083" t="s">
        <v>1285</v>
      </c>
      <c r="P3" s="1086" t="s">
        <v>1286</v>
      </c>
      <c r="Q3" s="1087" t="s">
        <v>1287</v>
      </c>
      <c r="R3" s="149" t="s">
        <v>1288</v>
      </c>
      <c r="S3" s="149" t="s">
        <v>1289</v>
      </c>
      <c r="T3" s="1088" t="s">
        <v>1290</v>
      </c>
      <c r="U3" s="1085" t="s">
        <v>1291</v>
      </c>
      <c r="V3" s="1089">
        <v>2</v>
      </c>
      <c r="W3" s="1090"/>
      <c r="X3" s="1090" t="s">
        <v>1292</v>
      </c>
      <c r="Y3" s="1081" t="s">
        <v>1266</v>
      </c>
      <c r="Z3" s="1091"/>
      <c r="AA3" s="1081" t="s">
        <v>1293</v>
      </c>
      <c r="AB3" s="1092" t="s">
        <v>1293</v>
      </c>
      <c r="AC3" s="1081" t="s">
        <v>1294</v>
      </c>
      <c r="AD3" s="1092" t="s">
        <v>1294</v>
      </c>
      <c r="AF3" s="1083" t="s">
        <v>1291</v>
      </c>
      <c r="AH3" s="1082" t="s">
        <v>1295</v>
      </c>
      <c r="AI3" s="1082" t="s">
        <v>1296</v>
      </c>
      <c r="AK3" s="1082" t="s">
        <v>1297</v>
      </c>
      <c r="AM3" s="1082" t="s">
        <v>1298</v>
      </c>
      <c r="AP3" s="1093" t="s">
        <v>1299</v>
      </c>
      <c r="AQ3" s="1094" t="s">
        <v>1299</v>
      </c>
      <c r="AS3" s="1081" t="s">
        <v>1300</v>
      </c>
      <c r="AU3" s="1126" t="s">
        <v>533</v>
      </c>
      <c r="AW3" s="1126" t="s">
        <v>1301</v>
      </c>
      <c r="AX3" s="1126" t="s">
        <v>1301</v>
      </c>
      <c r="AZ3" s="1126" t="s">
        <v>1302</v>
      </c>
      <c r="BB3" s="1126" t="s">
        <v>1303</v>
      </c>
      <c r="BC3" s="1126" t="s">
        <v>1276</v>
      </c>
      <c r="BE3" s="1126">
        <v>2001</v>
      </c>
      <c r="BF3" s="1126" t="s">
        <v>1304</v>
      </c>
      <c r="BH3" s="1073" t="s">
        <v>1305</v>
      </c>
      <c r="BJ3" s="1073" t="s">
        <v>1306</v>
      </c>
      <c r="BL3" s="1073" t="s">
        <v>1307</v>
      </c>
      <c r="BN3" s="1073" t="s">
        <v>1308</v>
      </c>
      <c r="BR3" s="1073" t="s">
        <v>1309</v>
      </c>
      <c r="BS3" s="1434"/>
      <c r="BT3" s="1076"/>
      <c r="BU3" s="1073" t="s">
        <v>1310</v>
      </c>
      <c r="BV3" s="1076"/>
      <c r="BW3" s="1696"/>
      <c r="BX3" s="1698" t="s">
        <v>1311</v>
      </c>
      <c r="CA3" s="1073" t="s">
        <v>1312</v>
      </c>
    </row>
    <row customHeight="1" ht="11.25">
      <c r="A4" s="1080" t="s">
        <v>1313</v>
      </c>
      <c r="B4" s="1081">
        <v>2002</v>
      </c>
      <c r="C4" s="1081">
        <v>2024</v>
      </c>
      <c r="E4" s="1082" t="s">
        <v>1314</v>
      </c>
      <c r="F4" s="1082" t="s">
        <v>1315</v>
      </c>
      <c r="H4" s="1083" t="s">
        <v>1316</v>
      </c>
      <c r="I4" s="1082" t="s">
        <v>91</v>
      </c>
      <c r="J4" s="1082" t="s">
        <v>1317</v>
      </c>
      <c r="K4" s="1084" t="s">
        <v>1318</v>
      </c>
      <c r="L4" s="1085">
        <f>_xlfn.IFERROR(MATCH(K4,OFFER_METHOD,0),0)</f>
        <v>0</v>
      </c>
      <c r="M4" s="1084">
        <v>3</v>
      </c>
      <c r="N4" s="1168" t="s">
        <v>1319</v>
      </c>
      <c r="O4" s="1082" t="s">
        <v>1320</v>
      </c>
      <c r="Q4" s="1087" t="s">
        <v>1321</v>
      </c>
      <c r="R4" s="149" t="s">
        <v>1322</v>
      </c>
      <c r="S4" s="149" t="s">
        <v>1323</v>
      </c>
      <c r="T4" s="1088" t="s">
        <v>1324</v>
      </c>
      <c r="U4" s="1085" t="s">
        <v>1325</v>
      </c>
      <c r="V4" s="1089">
        <v>3</v>
      </c>
      <c r="W4" s="1090"/>
      <c r="X4" s="1090" t="s">
        <v>1326</v>
      </c>
      <c r="Y4" s="1081" t="s">
        <v>1266</v>
      </c>
      <c r="Z4" s="1097"/>
      <c r="AC4" s="1081" t="s">
        <v>1327</v>
      </c>
      <c r="AD4" s="1092" t="s">
        <v>1327</v>
      </c>
      <c r="AF4" s="1083" t="s">
        <v>1325</v>
      </c>
      <c r="AH4" s="1083" t="s">
        <v>1328</v>
      </c>
      <c r="AK4" s="1082" t="s">
        <v>1329</v>
      </c>
      <c r="AM4" s="1082" t="s">
        <v>1330</v>
      </c>
      <c r="AP4" s="1093" t="s">
        <v>1292</v>
      </c>
      <c r="AQ4" s="1094" t="s">
        <v>1292</v>
      </c>
      <c r="AS4" s="1081" t="s">
        <v>1331</v>
      </c>
      <c r="AU4" s="1126" t="s">
        <v>534</v>
      </c>
      <c r="AW4" s="1126" t="s">
        <v>1332</v>
      </c>
      <c r="AX4" s="1126" t="s">
        <v>1332</v>
      </c>
      <c r="AZ4" s="1126" t="s">
        <v>1333</v>
      </c>
      <c r="BB4" s="1126" t="s">
        <v>1334</v>
      </c>
      <c r="BC4" s="1126" t="s">
        <v>1335</v>
      </c>
      <c r="BE4" s="1126">
        <v>2002</v>
      </c>
      <c r="BF4" s="1126" t="s">
        <v>1336</v>
      </c>
      <c r="BH4" s="1074" t="s">
        <v>1337</v>
      </c>
      <c r="BJ4" s="1074" t="s">
        <v>1337</v>
      </c>
      <c r="BL4" s="1074" t="s">
        <v>1337</v>
      </c>
      <c r="BN4" s="1074" t="s">
        <v>1337</v>
      </c>
      <c r="BQ4" s="1438" t="s">
        <v>1338</v>
      </c>
      <c r="BR4" s="1165" t="s">
        <v>1339</v>
      </c>
      <c r="BS4" s="280"/>
      <c r="BT4" s="1438" t="s">
        <v>1340</v>
      </c>
      <c r="BU4" s="1165" t="s">
        <v>1341</v>
      </c>
      <c r="BV4" s="1076"/>
      <c r="BW4" s="1703" t="s">
        <v>1342</v>
      </c>
      <c r="BX4" s="1697" t="s">
        <v>1343</v>
      </c>
      <c r="BZ4" s="1438" t="s">
        <v>1344</v>
      </c>
      <c r="CA4" s="1165" t="s">
        <v>1345</v>
      </c>
    </row>
    <row customHeight="1" ht="11.25">
      <c r="A5" s="1080" t="s">
        <v>1346</v>
      </c>
      <c r="B5" s="1081">
        <v>2003</v>
      </c>
      <c r="C5" s="1081">
        <v>2025</v>
      </c>
      <c r="E5" s="1082" t="s">
        <v>1347</v>
      </c>
      <c r="F5" s="1082" t="s">
        <v>1348</v>
      </c>
      <c r="H5" s="1083" t="s">
        <v>1349</v>
      </c>
      <c r="I5" s="1082" t="s">
        <v>92</v>
      </c>
      <c r="K5" s="1084" t="s">
        <v>1350</v>
      </c>
      <c r="L5" s="1085">
        <f>_xlfn.IFERROR(MATCH(K5,OFFER_METHOD,0),0)</f>
        <v>0</v>
      </c>
      <c r="M5" s="1084">
        <v>4</v>
      </c>
      <c r="N5" s="1098" t="s">
        <v>1351</v>
      </c>
      <c r="O5" s="1082" t="s">
        <v>1352</v>
      </c>
      <c r="Q5" s="1087" t="s">
        <v>1353</v>
      </c>
      <c r="R5" s="149" t="s">
        <v>1354</v>
      </c>
      <c r="T5" s="1083" t="s">
        <v>1355</v>
      </c>
      <c r="U5" s="1085" t="s">
        <v>1356</v>
      </c>
      <c r="V5" s="1089">
        <v>4</v>
      </c>
      <c r="W5" s="1090"/>
      <c r="X5" s="1090" t="s">
        <v>168</v>
      </c>
      <c r="Y5" s="1081" t="s">
        <v>1357</v>
      </c>
      <c r="Z5" s="1097">
        <v>1</v>
      </c>
      <c r="AF5" s="1083" t="s">
        <v>1358</v>
      </c>
      <c r="AH5" s="1082" t="s">
        <v>1359</v>
      </c>
      <c r="AK5" s="1082" t="s">
        <v>1360</v>
      </c>
      <c r="AM5" s="1082" t="s">
        <v>1361</v>
      </c>
      <c r="AP5" s="1093" t="s">
        <v>168</v>
      </c>
      <c r="AQ5" s="1094" t="s">
        <v>168</v>
      </c>
      <c r="AU5" s="1126" t="s">
        <v>535</v>
      </c>
      <c r="AW5" s="1126" t="s">
        <v>1362</v>
      </c>
      <c r="AX5" s="1126" t="s">
        <v>1362</v>
      </c>
      <c r="AZ5" s="1126" t="s">
        <v>1363</v>
      </c>
      <c r="BB5" s="1126" t="s">
        <v>1364</v>
      </c>
      <c r="BC5" s="1126" t="s">
        <v>1365</v>
      </c>
      <c r="BE5" s="1126">
        <v>2003</v>
      </c>
      <c r="BF5" s="1126" t="s">
        <v>1366</v>
      </c>
      <c r="BH5" s="1074" t="s">
        <v>1367</v>
      </c>
      <c r="BJ5" s="1074" t="s">
        <v>1367</v>
      </c>
      <c r="BL5" s="1074" t="s">
        <v>1367</v>
      </c>
      <c r="BN5" s="1074" t="s">
        <v>1368</v>
      </c>
      <c r="BQ5" s="1287">
        <v>4213775</v>
      </c>
      <c r="BR5" s="1074" t="s">
        <v>1265</v>
      </c>
      <c r="BS5" s="1435"/>
      <c r="BT5" s="1287">
        <v>64236871</v>
      </c>
      <c r="BU5" s="1074" t="s">
        <v>229</v>
      </c>
      <c r="BV5" s="1076"/>
      <c r="BW5" s="1701">
        <v>4213767</v>
      </c>
      <c r="BX5" s="1699" t="s">
        <v>1369</v>
      </c>
      <c r="BZ5" s="1287">
        <v>64237509</v>
      </c>
      <c r="CA5" s="1301" t="s">
        <v>1370</v>
      </c>
    </row>
    <row customHeight="1" ht="11.25">
      <c r="A6" s="1080" t="s">
        <v>1371</v>
      </c>
      <c r="B6" s="1081">
        <v>2004</v>
      </c>
      <c r="C6" s="1081">
        <v>2026</v>
      </c>
      <c r="E6" s="1082" t="s">
        <v>1372</v>
      </c>
      <c r="F6" s="1099"/>
      <c r="H6" s="1083" t="s">
        <v>1373</v>
      </c>
      <c r="I6" s="1082" t="s">
        <v>113</v>
      </c>
      <c r="J6" s="1073" t="s">
        <v>1374</v>
      </c>
      <c r="L6" s="1085">
        <f>SUM(kind_of_control_method_filter)</f>
        <v>0</v>
      </c>
      <c r="N6" s="1098" t="s">
        <v>1375</v>
      </c>
      <c r="O6" s="1082" t="s">
        <v>1376</v>
      </c>
      <c r="R6" s="149" t="s">
        <v>1260</v>
      </c>
      <c r="T6" s="1083" t="s">
        <v>1377</v>
      </c>
      <c r="U6" s="1085" t="s">
        <v>1358</v>
      </c>
      <c r="V6" s="1089">
        <v>5</v>
      </c>
      <c r="W6" s="1090"/>
      <c r="X6" s="1081" t="s">
        <v>174</v>
      </c>
      <c r="Y6" s="1081" t="s">
        <v>1378</v>
      </c>
      <c r="Z6" s="1097"/>
      <c r="AA6" s="1100"/>
      <c r="AH6" s="1082" t="s">
        <v>1379</v>
      </c>
      <c r="AK6" s="1082" t="s">
        <v>1380</v>
      </c>
      <c r="AM6" s="1082" t="s">
        <v>1381</v>
      </c>
      <c r="AP6" s="1093" t="s">
        <v>174</v>
      </c>
      <c r="AQ6" s="1094" t="s">
        <v>174</v>
      </c>
      <c r="AU6" s="1126" t="s">
        <v>536</v>
      </c>
      <c r="AW6" s="1126" t="s">
        <v>1382</v>
      </c>
      <c r="AX6" s="1126" t="s">
        <v>1382</v>
      </c>
      <c r="BB6" s="1126" t="s">
        <v>1383</v>
      </c>
      <c r="BC6" s="1126" t="s">
        <v>1365</v>
      </c>
      <c r="BE6" s="1126">
        <v>2004</v>
      </c>
      <c r="BF6" s="1126" t="s">
        <v>1384</v>
      </c>
      <c r="BH6" s="1074" t="s">
        <v>1385</v>
      </c>
      <c r="BJ6" s="1074" t="s">
        <v>1386</v>
      </c>
      <c r="BL6" s="1074" t="s">
        <v>1386</v>
      </c>
      <c r="BN6" s="1074" t="s">
        <v>1387</v>
      </c>
      <c r="BQ6" s="1287">
        <v>4213784</v>
      </c>
      <c r="BR6" s="1301" t="s">
        <v>1299</v>
      </c>
      <c r="BS6" s="1436"/>
      <c r="BT6" s="1287">
        <v>64236872</v>
      </c>
      <c r="BU6" s="1074" t="s">
        <v>234</v>
      </c>
      <c r="BV6" s="1076"/>
      <c r="BW6" s="1701">
        <v>4213768</v>
      </c>
      <c r="BX6" s="1699" t="s">
        <v>270</v>
      </c>
      <c r="BZ6" s="1287">
        <v>64237510</v>
      </c>
      <c r="CA6" s="1074" t="s">
        <v>1388</v>
      </c>
    </row>
    <row customHeight="1" ht="11.25">
      <c r="A7" s="1080" t="s">
        <v>1389</v>
      </c>
      <c r="B7" s="1081">
        <v>2005</v>
      </c>
      <c r="E7" s="1082" t="s">
        <v>1390</v>
      </c>
      <c r="F7" s="1099"/>
      <c r="H7" s="1083" t="s">
        <v>1391</v>
      </c>
      <c r="I7" s="1082" t="s">
        <v>93</v>
      </c>
      <c r="J7" s="1082" t="s">
        <v>1392</v>
      </c>
      <c r="N7" s="1102" t="s">
        <v>1393</v>
      </c>
      <c r="O7" s="1082" t="s">
        <v>1394</v>
      </c>
      <c r="U7" s="1085" t="s">
        <v>19</v>
      </c>
      <c r="V7" s="376" t="s">
        <v>93</v>
      </c>
      <c r="W7" s="1090"/>
      <c r="X7" s="1081" t="s">
        <v>180</v>
      </c>
      <c r="Y7" s="1081" t="s">
        <v>1357</v>
      </c>
      <c r="Z7" s="1097"/>
      <c r="AA7" s="1100"/>
      <c r="AH7" s="1082" t="s">
        <v>1395</v>
      </c>
      <c r="AK7" s="1082" t="s">
        <v>1396</v>
      </c>
      <c r="AM7" s="1082" t="s">
        <v>1397</v>
      </c>
      <c r="AP7" s="1093" t="s">
        <v>180</v>
      </c>
      <c r="AQ7" s="1094" t="s">
        <v>180</v>
      </c>
      <c r="AU7" s="1126" t="s">
        <v>537</v>
      </c>
      <c r="AW7" s="1126" t="s">
        <v>1398</v>
      </c>
      <c r="AX7" s="1126" t="s">
        <v>1398</v>
      </c>
      <c r="AZ7" s="1073" t="s">
        <v>1399</v>
      </c>
      <c r="BB7" s="1126" t="s">
        <v>1400</v>
      </c>
      <c r="BC7" s="1126" t="s">
        <v>1365</v>
      </c>
      <c r="BE7" s="1126">
        <v>2005</v>
      </c>
      <c r="BF7" s="1126" t="s">
        <v>1401</v>
      </c>
      <c r="BH7" s="1074" t="s">
        <v>1402</v>
      </c>
      <c r="BJ7" s="1074" t="s">
        <v>1385</v>
      </c>
      <c r="BL7" s="1074" t="s">
        <v>1385</v>
      </c>
      <c r="BN7" s="1074" t="s">
        <v>1403</v>
      </c>
      <c r="BQ7" s="1287">
        <v>4213781</v>
      </c>
      <c r="BR7" s="1074" t="s">
        <v>1292</v>
      </c>
      <c r="BS7" s="1435"/>
      <c r="BT7" s="1287">
        <v>64236873</v>
      </c>
      <c r="BU7" s="1074" t="s">
        <v>239</v>
      </c>
      <c r="BV7" s="1076"/>
      <c r="BW7" s="1701">
        <v>4213769</v>
      </c>
      <c r="BX7" s="1699" t="s">
        <v>1404</v>
      </c>
      <c r="BZ7" s="1287">
        <v>64237511</v>
      </c>
      <c r="CA7" s="1074" t="s">
        <v>285</v>
      </c>
    </row>
    <row customHeight="1" ht="11.25">
      <c r="A8" s="1080" t="s">
        <v>1405</v>
      </c>
      <c r="B8" s="1081">
        <v>2006</v>
      </c>
      <c r="E8" s="1082" t="s">
        <v>1406</v>
      </c>
      <c r="F8" s="1099"/>
      <c r="H8" s="1083" t="s">
        <v>1407</v>
      </c>
      <c r="I8" s="1082" t="s">
        <v>94</v>
      </c>
      <c r="J8" s="1082" t="s">
        <v>1408</v>
      </c>
      <c r="N8" s="1169" t="s">
        <v>1409</v>
      </c>
      <c r="O8" s="1082" t="s">
        <v>1410</v>
      </c>
      <c r="V8" s="376" t="s">
        <v>94</v>
      </c>
      <c r="W8" s="1090"/>
      <c r="X8" s="1081" t="s">
        <v>186</v>
      </c>
      <c r="Y8" s="1081" t="s">
        <v>1357</v>
      </c>
      <c r="Z8" s="1097"/>
      <c r="AA8" s="1100"/>
      <c r="AK8" s="1082" t="s">
        <v>1411</v>
      </c>
      <c r="AP8" s="1093" t="s">
        <v>186</v>
      </c>
      <c r="AQ8" s="1094" t="s">
        <v>186</v>
      </c>
      <c r="AU8" s="1126" t="s">
        <v>1412</v>
      </c>
      <c r="AW8" s="1126" t="s">
        <v>1413</v>
      </c>
      <c r="AX8" s="1126" t="s">
        <v>1413</v>
      </c>
      <c r="AZ8" s="1126" t="s">
        <v>1414</v>
      </c>
      <c r="BB8" s="1126" t="s">
        <v>1415</v>
      </c>
      <c r="BC8" s="1126" t="s">
        <v>1365</v>
      </c>
      <c r="BE8" s="1126">
        <v>2006</v>
      </c>
      <c r="BF8" s="1126" t="s">
        <v>1416</v>
      </c>
      <c r="BH8" s="1074" t="s">
        <v>1417</v>
      </c>
      <c r="BJ8" s="1074" t="s">
        <v>1418</v>
      </c>
      <c r="BL8" s="1074" t="s">
        <v>1418</v>
      </c>
      <c r="BN8" s="1074" t="s">
        <v>1419</v>
      </c>
      <c r="BQ8" s="1287">
        <v>4213776</v>
      </c>
      <c r="BR8" s="1074" t="s">
        <v>168</v>
      </c>
      <c r="BS8" s="1435"/>
      <c r="BT8" s="1287">
        <v>64236874</v>
      </c>
      <c r="BU8" s="1301" t="s">
        <v>1420</v>
      </c>
      <c r="BV8" s="1076"/>
      <c r="BW8" s="1701">
        <v>4213770</v>
      </c>
      <c r="BX8" s="1702" t="s">
        <v>1421</v>
      </c>
      <c r="BZ8" s="1287">
        <v>64237512</v>
      </c>
      <c r="CA8" s="1074" t="s">
        <v>280</v>
      </c>
    </row>
    <row customHeight="1" ht="11.25">
      <c r="A9" s="1080" t="s">
        <v>1422</v>
      </c>
      <c r="B9" s="1081">
        <v>2007</v>
      </c>
      <c r="E9" s="1082" t="s">
        <v>1423</v>
      </c>
      <c r="F9" s="1099"/>
      <c r="G9" s="1073" t="s">
        <v>1424</v>
      </c>
      <c r="H9" s="1073" t="s">
        <v>1425</v>
      </c>
      <c r="I9" s="1082" t="s">
        <v>114</v>
      </c>
      <c r="O9" s="1082" t="s">
        <v>1426</v>
      </c>
      <c r="V9" s="376" t="s">
        <v>114</v>
      </c>
      <c r="W9" s="1090"/>
      <c r="X9" s="1081" t="s">
        <v>192</v>
      </c>
      <c r="Y9" s="1081" t="s">
        <v>1266</v>
      </c>
      <c r="Z9" s="1097">
        <v>1</v>
      </c>
      <c r="AA9" s="1100"/>
      <c r="AK9" s="1082" t="s">
        <v>1427</v>
      </c>
      <c r="AP9" s="1093" t="s">
        <v>1428</v>
      </c>
      <c r="AQ9" s="1094" t="s">
        <v>1428</v>
      </c>
      <c r="AW9" s="1126" t="s">
        <v>1429</v>
      </c>
      <c r="AX9" s="1126" t="s">
        <v>1429</v>
      </c>
      <c r="AZ9" s="1126" t="s">
        <v>1430</v>
      </c>
      <c r="BB9" s="1126" t="s">
        <v>1431</v>
      </c>
      <c r="BC9" s="1126" t="s">
        <v>1365</v>
      </c>
      <c r="BE9" s="1126">
        <v>2007</v>
      </c>
      <c r="BF9" s="1126" t="s">
        <v>1432</v>
      </c>
      <c r="BH9" s="1074" t="s">
        <v>1433</v>
      </c>
      <c r="BJ9" s="1074" t="s">
        <v>1434</v>
      </c>
      <c r="BL9" s="1074" t="s">
        <v>1434</v>
      </c>
      <c r="BN9" s="1074" t="s">
        <v>1435</v>
      </c>
      <c r="BQ9" s="1287">
        <v>4213777</v>
      </c>
      <c r="BR9" s="1074" t="s">
        <v>174</v>
      </c>
      <c r="BS9" s="1435"/>
      <c r="BT9" s="1287">
        <v>64236875</v>
      </c>
      <c r="BU9" s="1074" t="s">
        <v>244</v>
      </c>
      <c r="BV9" s="1076"/>
      <c r="BW9" s="1696"/>
      <c r="BX9" s="1696"/>
    </row>
    <row customHeight="1" ht="11.25">
      <c r="A10" s="1080" t="s">
        <v>1436</v>
      </c>
      <c r="B10" s="1081">
        <v>2008</v>
      </c>
      <c r="E10" s="1082" t="s">
        <v>1437</v>
      </c>
      <c r="F10" s="1099"/>
      <c r="G10" s="1082" t="s">
        <v>1438</v>
      </c>
      <c r="H10" s="1082" t="s">
        <v>1439</v>
      </c>
      <c r="I10" s="1082" t="s">
        <v>150</v>
      </c>
      <c r="J10" s="1073" t="s">
        <v>1440</v>
      </c>
      <c r="K10" s="1073" t="s">
        <v>1441</v>
      </c>
      <c r="O10" s="1082" t="s">
        <v>1442</v>
      </c>
      <c r="V10" s="377" t="s">
        <v>150</v>
      </c>
      <c r="W10" s="1103"/>
      <c r="X10" s="1103" t="s">
        <v>1443</v>
      </c>
      <c r="Y10" s="1104" t="s">
        <v>1444</v>
      </c>
      <c r="Z10" s="1097"/>
      <c r="AP10" s="1093" t="s">
        <v>1443</v>
      </c>
      <c r="AQ10" s="1094" t="s">
        <v>1443</v>
      </c>
      <c r="AW10" s="1126" t="s">
        <v>1445</v>
      </c>
      <c r="AX10" s="1126" t="s">
        <v>1445</v>
      </c>
      <c r="AZ10" s="1126" t="s">
        <v>1446</v>
      </c>
      <c r="BB10" s="1126" t="s">
        <v>1447</v>
      </c>
      <c r="BC10" s="1126" t="s">
        <v>1365</v>
      </c>
      <c r="BE10" s="1126">
        <v>2008</v>
      </c>
      <c r="BF10" s="1126" t="s">
        <v>1448</v>
      </c>
      <c r="BH10" s="1074" t="s">
        <v>1449</v>
      </c>
      <c r="BJ10" s="1074" t="s">
        <v>1450</v>
      </c>
      <c r="BL10" s="1074" t="s">
        <v>1450</v>
      </c>
      <c r="BN10" s="1074" t="s">
        <v>1451</v>
      </c>
      <c r="BQ10" s="1287">
        <v>4213778</v>
      </c>
      <c r="BR10" s="1074" t="s">
        <v>180</v>
      </c>
      <c r="BS10" s="1435"/>
      <c r="BT10" s="1287">
        <v>64236876</v>
      </c>
      <c r="BU10" s="1074" t="s">
        <v>224</v>
      </c>
      <c r="BV10" s="1076"/>
      <c r="BW10" s="1696"/>
      <c r="BX10" s="1696"/>
    </row>
    <row customHeight="1" ht="11.25">
      <c r="A11" s="1080" t="s">
        <v>1452</v>
      </c>
      <c r="B11" s="1081">
        <v>2009</v>
      </c>
      <c r="E11" s="1082" t="s">
        <v>1453</v>
      </c>
      <c r="F11" s="1099"/>
      <c r="G11" s="1082" t="s">
        <v>1454</v>
      </c>
      <c r="H11" s="1082" t="s">
        <v>1455</v>
      </c>
      <c r="I11" s="1082" t="s">
        <v>151</v>
      </c>
      <c r="J11" s="1083" t="s">
        <v>1456</v>
      </c>
      <c r="K11" s="1105" t="s">
        <v>1457</v>
      </c>
      <c r="O11" s="1083" t="s">
        <v>1458</v>
      </c>
      <c r="V11" s="376" t="s">
        <v>151</v>
      </c>
      <c r="W11" s="281"/>
      <c r="X11" s="1090" t="s">
        <v>1428</v>
      </c>
      <c r="Y11" s="1081" t="s">
        <v>1459</v>
      </c>
      <c r="Z11" s="1097"/>
      <c r="AP11" s="1093" t="s">
        <v>192</v>
      </c>
      <c r="AQ11" s="1095" t="s">
        <v>192</v>
      </c>
      <c r="AW11" s="1126" t="s">
        <v>1460</v>
      </c>
      <c r="AX11" s="1126" t="s">
        <v>1460</v>
      </c>
      <c r="AZ11" s="1126" t="s">
        <v>1461</v>
      </c>
      <c r="BB11" s="1126" t="s">
        <v>1462</v>
      </c>
      <c r="BC11" s="1126" t="s">
        <v>1365</v>
      </c>
      <c r="BE11" s="1126">
        <v>2009</v>
      </c>
      <c r="BF11" s="1126" t="s">
        <v>1463</v>
      </c>
      <c r="BH11" s="1074" t="s">
        <v>1464</v>
      </c>
      <c r="BJ11" s="1074" t="s">
        <v>1433</v>
      </c>
      <c r="BL11" s="1074" t="s">
        <v>1433</v>
      </c>
      <c r="BN11" s="1074" t="s">
        <v>1465</v>
      </c>
      <c r="BQ11" s="1287">
        <v>4213780</v>
      </c>
      <c r="BR11" s="1074" t="s">
        <v>186</v>
      </c>
      <c r="BS11" s="1435"/>
      <c r="BW11" s="1696"/>
      <c r="BX11" s="1696"/>
    </row>
    <row customHeight="1" ht="11.25">
      <c r="A12" s="1080" t="s">
        <v>1466</v>
      </c>
      <c r="B12" s="1081">
        <v>2010</v>
      </c>
      <c r="E12" s="1082" t="s">
        <v>1467</v>
      </c>
      <c r="F12" s="1099"/>
      <c r="G12" s="1082" t="s">
        <v>1455</v>
      </c>
      <c r="I12" s="1082" t="s">
        <v>152</v>
      </c>
      <c r="J12" s="1083" t="s">
        <v>1468</v>
      </c>
      <c r="K12" s="1105" t="s">
        <v>1469</v>
      </c>
      <c r="O12" s="1083" t="s">
        <v>1260</v>
      </c>
      <c r="V12" s="376" t="s">
        <v>152</v>
      </c>
      <c r="W12" s="1095"/>
      <c r="X12" s="1090" t="s">
        <v>1470</v>
      </c>
      <c r="Y12" s="1081" t="s">
        <v>1266</v>
      </c>
      <c r="AP12" s="1093"/>
      <c r="AW12" s="1126" t="s">
        <v>151</v>
      </c>
      <c r="AX12" s="1126" t="s">
        <v>151</v>
      </c>
      <c r="AZ12" s="1126" t="s">
        <v>1471</v>
      </c>
      <c r="BB12" s="1126" t="s">
        <v>1472</v>
      </c>
      <c r="BC12" s="1126" t="s">
        <v>1365</v>
      </c>
      <c r="BE12" s="1126">
        <v>2010</v>
      </c>
      <c r="BF12" s="1126" t="s">
        <v>1473</v>
      </c>
      <c r="BH12" s="1074" t="s">
        <v>1474</v>
      </c>
      <c r="BJ12" s="1074" t="s">
        <v>1475</v>
      </c>
      <c r="BL12" s="1074" t="s">
        <v>1475</v>
      </c>
      <c r="BN12" s="1074" t="s">
        <v>1476</v>
      </c>
      <c r="BQ12" s="1287">
        <v>4213779</v>
      </c>
      <c r="BR12" s="1074" t="s">
        <v>1428</v>
      </c>
      <c r="BS12" s="1435"/>
      <c r="BT12" s="1076"/>
      <c r="BU12" s="1076"/>
      <c r="BV12" s="1076"/>
      <c r="BW12" s="1696"/>
      <c r="BX12" s="1696"/>
    </row>
    <row customHeight="1" ht="11.25">
      <c r="A13" s="1080" t="s">
        <v>1477</v>
      </c>
      <c r="B13" s="1081">
        <v>2011</v>
      </c>
      <c r="E13" s="1082" t="s">
        <v>1478</v>
      </c>
      <c r="F13" s="1099"/>
      <c r="I13" s="1082" t="s">
        <v>153</v>
      </c>
      <c r="K13" s="1105" t="s">
        <v>1427</v>
      </c>
      <c r="V13" s="376" t="s">
        <v>153</v>
      </c>
      <c r="W13" s="1095"/>
      <c r="X13" s="1095"/>
      <c r="Y13" s="1095"/>
      <c r="AW13" s="1126" t="s">
        <v>152</v>
      </c>
      <c r="AX13" s="1126" t="s">
        <v>152</v>
      </c>
      <c r="BB13" s="1126" t="s">
        <v>1479</v>
      </c>
      <c r="BC13" s="1126" t="s">
        <v>1480</v>
      </c>
      <c r="BE13" s="1126">
        <v>2011</v>
      </c>
      <c r="BF13" s="1126" t="s">
        <v>1481</v>
      </c>
      <c r="BH13" s="1074" t="s">
        <v>1482</v>
      </c>
      <c r="BJ13" s="1074" t="s">
        <v>1464</v>
      </c>
      <c r="BL13" s="1074" t="s">
        <v>1464</v>
      </c>
      <c r="BN13" s="1074" t="s">
        <v>1483</v>
      </c>
      <c r="BQ13" s="1287">
        <v>4213783</v>
      </c>
      <c r="BR13" s="1074" t="s">
        <v>1443</v>
      </c>
      <c r="BS13" s="1435"/>
      <c r="BT13" s="1076"/>
      <c r="BU13" s="1076"/>
      <c r="BV13" s="1076"/>
      <c r="BW13" s="1700"/>
      <c r="BX13" s="1696"/>
    </row>
    <row customHeight="1" ht="11.25">
      <c r="A14" s="1080" t="s">
        <v>1484</v>
      </c>
      <c r="B14" s="1081">
        <v>2012</v>
      </c>
      <c r="I14" s="1082" t="s">
        <v>154</v>
      </c>
      <c r="J14" s="1073" t="s">
        <v>1485</v>
      </c>
      <c r="N14" s="1073" t="s">
        <v>1486</v>
      </c>
      <c r="V14" s="1089">
        <v>13</v>
      </c>
      <c r="W14" s="1090"/>
      <c r="X14" s="1090" t="s">
        <v>1299</v>
      </c>
      <c r="Y14" s="1081" t="s">
        <v>1266</v>
      </c>
      <c r="AW14" s="1126" t="s">
        <v>153</v>
      </c>
      <c r="AX14" s="1126" t="s">
        <v>153</v>
      </c>
      <c r="AZ14" s="1073" t="s">
        <v>1487</v>
      </c>
      <c r="BB14" s="1126" t="s">
        <v>1488</v>
      </c>
      <c r="BC14" s="1126" t="s">
        <v>1480</v>
      </c>
      <c r="BE14" s="1126">
        <v>2012</v>
      </c>
      <c r="BH14" s="1074" t="s">
        <v>1403</v>
      </c>
      <c r="BJ14" s="1223" t="s">
        <v>1489</v>
      </c>
      <c r="BL14" s="1223" t="s">
        <v>1489</v>
      </c>
      <c r="BN14" s="1074" t="s">
        <v>1490</v>
      </c>
      <c r="BQ14" s="1287">
        <v>4213782</v>
      </c>
      <c r="BR14" s="1074" t="s">
        <v>192</v>
      </c>
      <c r="BS14" s="1435"/>
      <c r="BT14" s="1076"/>
      <c r="BU14" s="1076"/>
      <c r="BV14" s="1076"/>
      <c r="BW14" s="1700"/>
      <c r="BX14" s="1696"/>
    </row>
    <row customHeight="1" ht="19.5">
      <c r="A15" s="1080" t="s">
        <v>1491</v>
      </c>
      <c r="B15" s="1081">
        <v>2013</v>
      </c>
      <c r="E15" s="1704" t="s">
        <v>1492</v>
      </c>
      <c r="G15" s="1073" t="s">
        <v>1493</v>
      </c>
      <c r="H15" s="1073" t="s">
        <v>1494</v>
      </c>
      <c r="I15" s="1084" t="s">
        <v>155</v>
      </c>
      <c r="J15" s="1095" t="s">
        <v>620</v>
      </c>
      <c r="N15" s="1164" t="s">
        <v>1495</v>
      </c>
      <c r="X15" s="1093"/>
      <c r="AW15" s="1126" t="s">
        <v>154</v>
      </c>
      <c r="AX15" s="1126" t="s">
        <v>154</v>
      </c>
      <c r="AZ15" s="1126" t="s">
        <v>1414</v>
      </c>
      <c r="BB15" s="1126" t="s">
        <v>1496</v>
      </c>
      <c r="BC15" s="1126" t="s">
        <v>1480</v>
      </c>
      <c r="BE15" s="1126">
        <v>2013</v>
      </c>
      <c r="BH15" s="1074" t="s">
        <v>1419</v>
      </c>
      <c r="BJ15" s="1223" t="s">
        <v>1497</v>
      </c>
      <c r="BL15" s="1223" t="s">
        <v>1497</v>
      </c>
      <c r="BN15" s="1074" t="s">
        <v>1498</v>
      </c>
      <c r="BR15" s="1076"/>
      <c r="BS15" s="1437"/>
      <c r="BT15" s="1076"/>
      <c r="BU15" s="1076"/>
      <c r="BV15" s="1076"/>
      <c r="BW15" s="1700"/>
      <c r="BX15" s="1696"/>
    </row>
    <row customHeight="1" ht="21">
      <c r="A16" s="1876" t="s">
        <v>1499</v>
      </c>
      <c r="B16" s="1081">
        <v>2014</v>
      </c>
      <c r="E16" s="1705" t="s">
        <v>1500</v>
      </c>
      <c r="G16" s="1082" t="s">
        <v>1501</v>
      </c>
      <c r="H16" s="1082" t="s">
        <v>1502</v>
      </c>
      <c r="I16" s="1084" t="s">
        <v>1503</v>
      </c>
      <c r="J16" s="1095" t="s">
        <v>593</v>
      </c>
      <c r="N16" s="1164" t="s">
        <v>1504</v>
      </c>
      <c r="AW16" s="1126" t="s">
        <v>155</v>
      </c>
      <c r="AX16" s="1126" t="s">
        <v>155</v>
      </c>
      <c r="AZ16" s="1126" t="s">
        <v>1430</v>
      </c>
      <c r="BB16" s="1126" t="s">
        <v>1505</v>
      </c>
      <c r="BC16" s="1126" t="s">
        <v>1480</v>
      </c>
      <c r="BE16" s="1126">
        <v>2014</v>
      </c>
      <c r="BH16" s="1074" t="s">
        <v>1435</v>
      </c>
      <c r="BJ16" s="1223" t="s">
        <v>1506</v>
      </c>
      <c r="BL16" s="1223" t="s">
        <v>1506</v>
      </c>
      <c r="BN16" s="1074" t="s">
        <v>1507</v>
      </c>
      <c r="BR16" s="1076"/>
      <c r="BS16" s="1437"/>
      <c r="BT16" s="1076"/>
      <c r="BU16" s="1076"/>
      <c r="BV16" s="1076"/>
      <c r="BW16" s="1700"/>
      <c r="BX16" s="1696"/>
    </row>
    <row customHeight="1" ht="21">
      <c r="A17" s="1080" t="s">
        <v>1508</v>
      </c>
      <c r="B17" s="1081">
        <v>2015</v>
      </c>
      <c r="G17" s="1082" t="s">
        <v>1455</v>
      </c>
      <c r="H17" s="1082" t="s">
        <v>1455</v>
      </c>
      <c r="I17" s="1082" t="s">
        <v>1509</v>
      </c>
      <c r="N17" s="1164" t="s">
        <v>1510</v>
      </c>
      <c r="X17" s="1093"/>
      <c r="AW17" s="1126" t="s">
        <v>1503</v>
      </c>
      <c r="AX17" s="1126" t="s">
        <v>1503</v>
      </c>
      <c r="AZ17" s="1126" t="s">
        <v>1511</v>
      </c>
      <c r="BB17" s="1126" t="s">
        <v>1512</v>
      </c>
      <c r="BC17" s="1126" t="s">
        <v>1365</v>
      </c>
      <c r="BE17" s="1126">
        <v>2015</v>
      </c>
      <c r="BH17" s="1074" t="s">
        <v>1451</v>
      </c>
      <c r="BJ17" s="1223" t="s">
        <v>1513</v>
      </c>
      <c r="BL17" s="1223" t="s">
        <v>1513</v>
      </c>
      <c r="BN17" s="1074" t="s">
        <v>1514</v>
      </c>
      <c r="BR17" s="1073" t="s">
        <v>1309</v>
      </c>
      <c r="BS17" s="1434"/>
      <c r="BU17" s="1073" t="s">
        <v>1515</v>
      </c>
      <c r="BV17" s="1076"/>
      <c r="BW17" s="1696"/>
      <c r="BX17" s="1698" t="s">
        <v>1516</v>
      </c>
      <c r="CA17" s="1073" t="s">
        <v>1517</v>
      </c>
      <c r="CD17" s="1073" t="s">
        <v>1518</v>
      </c>
    </row>
    <row customHeight="1" ht="21">
      <c r="A18" s="1080" t="s">
        <v>1519</v>
      </c>
      <c r="B18" s="1081">
        <v>2016</v>
      </c>
      <c r="E18" s="2011" t="s">
        <v>1520</v>
      </c>
      <c r="I18" s="1082" t="s">
        <v>1521</v>
      </c>
      <c r="N18" s="1164" t="s">
        <v>1522</v>
      </c>
      <c r="X18" s="1093"/>
      <c r="AW18" s="1126" t="s">
        <v>1509</v>
      </c>
      <c r="AX18" s="1126" t="s">
        <v>1509</v>
      </c>
      <c r="BB18" s="1126" t="s">
        <v>1523</v>
      </c>
      <c r="BC18" s="1126" t="s">
        <v>1365</v>
      </c>
      <c r="BE18" s="1126">
        <v>2016</v>
      </c>
      <c r="BH18" s="1074" t="s">
        <v>1465</v>
      </c>
      <c r="BJ18" s="1223" t="s">
        <v>1524</v>
      </c>
      <c r="BL18" s="1223" t="s">
        <v>1524</v>
      </c>
      <c r="BN18" s="1074" t="s">
        <v>1525</v>
      </c>
      <c r="BQ18" s="1438" t="s">
        <v>1338</v>
      </c>
      <c r="BR18" s="1165" t="s">
        <v>1339</v>
      </c>
      <c r="BS18" s="280"/>
      <c r="BT18" s="1438" t="s">
        <v>1526</v>
      </c>
      <c r="BU18" s="1165" t="s">
        <v>1527</v>
      </c>
      <c r="BV18" s="1076"/>
      <c r="BW18" s="1703" t="s">
        <v>1528</v>
      </c>
      <c r="BX18" s="1697" t="s">
        <v>1529</v>
      </c>
      <c r="BZ18" s="1438" t="s">
        <v>1530</v>
      </c>
      <c r="CA18" s="1165" t="s">
        <v>1531</v>
      </c>
      <c r="CC18" s="1438" t="s">
        <v>1532</v>
      </c>
      <c r="CD18" s="1165" t="s">
        <v>1533</v>
      </c>
    </row>
    <row customHeight="1" ht="21">
      <c r="A19" s="1876" t="s">
        <v>1534</v>
      </c>
      <c r="B19" s="1081">
        <v>2017</v>
      </c>
      <c r="E19" s="1080" t="s">
        <v>167</v>
      </c>
      <c r="I19" s="1082" t="s">
        <v>1535</v>
      </c>
      <c r="N19" s="1164" t="s">
        <v>1536</v>
      </c>
      <c r="X19" s="1093"/>
      <c r="AW19" s="1126" t="s">
        <v>1521</v>
      </c>
      <c r="AX19" s="1126" t="s">
        <v>1521</v>
      </c>
      <c r="AZ19" s="1073" t="s">
        <v>1537</v>
      </c>
      <c r="BB19" s="1126" t="s">
        <v>1538</v>
      </c>
      <c r="BC19" s="1126" t="s">
        <v>1365</v>
      </c>
      <c r="BE19" s="1126">
        <v>2017</v>
      </c>
      <c r="BH19" s="1074" t="s">
        <v>1539</v>
      </c>
      <c r="BJ19" s="1223" t="s">
        <v>1540</v>
      </c>
      <c r="BL19" s="1223" t="s">
        <v>1540</v>
      </c>
      <c r="BQ19" s="1287">
        <v>4190064</v>
      </c>
      <c r="BR19" s="1074" t="s">
        <v>1541</v>
      </c>
      <c r="BS19" s="1435"/>
      <c r="BT19" s="1287">
        <v>4189671</v>
      </c>
      <c r="BU19" s="1074" t="s">
        <v>1542</v>
      </c>
      <c r="BV19" s="1076"/>
      <c r="BW19" s="1701">
        <v>4189706</v>
      </c>
      <c r="BX19" s="1699" t="s">
        <v>1543</v>
      </c>
      <c r="BZ19" s="1287">
        <v>4189714</v>
      </c>
      <c r="CA19" s="1074" t="s">
        <v>1544</v>
      </c>
      <c r="CC19" s="1287">
        <v>4189708</v>
      </c>
      <c r="CD19" s="1074" t="s">
        <v>1545</v>
      </c>
    </row>
    <row customHeight="1" ht="21">
      <c r="A20" s="1080" t="s">
        <v>1546</v>
      </c>
      <c r="B20" s="1081">
        <v>2018</v>
      </c>
      <c r="E20" s="1080" t="s">
        <v>1299</v>
      </c>
      <c r="I20" s="1082" t="s">
        <v>1547</v>
      </c>
      <c r="N20" s="1164" t="s">
        <v>1548</v>
      </c>
      <c r="AW20" s="1126" t="s">
        <v>1535</v>
      </c>
      <c r="AX20" s="1126" t="s">
        <v>1535</v>
      </c>
      <c r="AZ20" s="1126" t="s">
        <v>1549</v>
      </c>
      <c r="BB20" s="1126" t="s">
        <v>1550</v>
      </c>
      <c r="BC20" s="1126" t="s">
        <v>1480</v>
      </c>
      <c r="BE20" s="1126">
        <v>2018</v>
      </c>
      <c r="BH20" s="1074" t="s">
        <v>1476</v>
      </c>
      <c r="BJ20" s="1074" t="s">
        <v>1403</v>
      </c>
      <c r="BL20" s="1074" t="s">
        <v>1403</v>
      </c>
      <c r="BQ20" s="1287">
        <v>4190065</v>
      </c>
      <c r="BR20" s="1074" t="s">
        <v>1551</v>
      </c>
      <c r="BS20" s="1435"/>
      <c r="BT20" s="1287">
        <v>4189672</v>
      </c>
      <c r="BU20" s="1074" t="s">
        <v>1552</v>
      </c>
      <c r="BV20" s="1076"/>
      <c r="BW20" s="1701">
        <v>4189705</v>
      </c>
      <c r="BX20" s="1699" t="s">
        <v>1553</v>
      </c>
      <c r="BZ20" s="1287">
        <v>4189713</v>
      </c>
      <c r="CA20" s="1074" t="s">
        <v>1553</v>
      </c>
      <c r="CC20" s="1287">
        <v>4189709</v>
      </c>
      <c r="CD20" s="1074" t="s">
        <v>1554</v>
      </c>
    </row>
    <row customHeight="1" ht="21">
      <c r="A21" s="1080" t="s">
        <v>1555</v>
      </c>
      <c r="B21" s="1081">
        <v>2019</v>
      </c>
      <c r="I21" s="1082" t="s">
        <v>1556</v>
      </c>
      <c r="N21" s="1164" t="s">
        <v>1557</v>
      </c>
      <c r="AW21" s="1126" t="s">
        <v>1547</v>
      </c>
      <c r="AX21" s="1126" t="s">
        <v>1547</v>
      </c>
      <c r="AZ21" s="1126" t="s">
        <v>1558</v>
      </c>
      <c r="BB21" s="1126" t="s">
        <v>1559</v>
      </c>
      <c r="BC21" s="1126" t="s">
        <v>1365</v>
      </c>
      <c r="BE21" s="1126">
        <v>2019</v>
      </c>
      <c r="BH21" s="1074" t="s">
        <v>1483</v>
      </c>
      <c r="BJ21" s="1074" t="s">
        <v>1419</v>
      </c>
      <c r="BL21" s="1074" t="s">
        <v>1419</v>
      </c>
      <c r="BQ21" s="1287">
        <v>4190066</v>
      </c>
      <c r="BR21" s="1074" t="s">
        <v>1560</v>
      </c>
      <c r="BS21" s="1435"/>
      <c r="BT21" s="1287">
        <v>4189673</v>
      </c>
      <c r="BU21" s="1074" t="s">
        <v>1561</v>
      </c>
      <c r="BV21" s="1076"/>
      <c r="BW21" s="1701">
        <v>4189707</v>
      </c>
      <c r="BX21" s="1699" t="s">
        <v>1562</v>
      </c>
      <c r="BZ21" s="1287">
        <v>4189712</v>
      </c>
      <c r="CA21" s="1074" t="s">
        <v>1563</v>
      </c>
      <c r="CC21" s="1287">
        <v>4189710</v>
      </c>
      <c r="CD21" s="1074" t="s">
        <v>1564</v>
      </c>
    </row>
    <row customHeight="1" ht="21">
      <c r="A22" s="1080" t="s">
        <v>1565</v>
      </c>
      <c r="B22" s="1081">
        <v>2020</v>
      </c>
      <c r="N22" s="1164" t="s">
        <v>1566</v>
      </c>
      <c r="AW22" s="1126" t="s">
        <v>1556</v>
      </c>
      <c r="AX22" s="1126" t="s">
        <v>1556</v>
      </c>
      <c r="AZ22" s="1126" t="s">
        <v>1567</v>
      </c>
      <c r="BB22" s="1126" t="s">
        <v>1568</v>
      </c>
      <c r="BC22" s="1126" t="s">
        <v>1365</v>
      </c>
      <c r="BE22" s="1126">
        <v>2020</v>
      </c>
      <c r="BH22" s="1074" t="s">
        <v>1490</v>
      </c>
      <c r="BJ22" s="1074" t="s">
        <v>1435</v>
      </c>
      <c r="BL22" s="1074" t="s">
        <v>1435</v>
      </c>
      <c r="BQ22" s="1287">
        <v>4190067</v>
      </c>
      <c r="BR22" s="1074" t="s">
        <v>1569</v>
      </c>
      <c r="BS22" s="1435"/>
      <c r="BT22" s="1287">
        <v>4189674</v>
      </c>
      <c r="BU22" s="1074" t="s">
        <v>1570</v>
      </c>
      <c r="BV22" s="1076"/>
      <c r="BW22" s="1076"/>
      <c r="CC22" s="1287">
        <v>4189711</v>
      </c>
      <c r="CD22" s="1074" t="s">
        <v>309</v>
      </c>
    </row>
    <row customHeight="1" ht="21">
      <c r="A23" s="1080" t="s">
        <v>1571</v>
      </c>
      <c r="B23" s="1081">
        <v>2021</v>
      </c>
      <c r="AW23" s="1126" t="s">
        <v>1572</v>
      </c>
      <c r="AX23" s="1126" t="s">
        <v>1572</v>
      </c>
      <c r="AZ23" s="1126" t="s">
        <v>1573</v>
      </c>
      <c r="BB23" s="1126" t="s">
        <v>1574</v>
      </c>
      <c r="BC23" s="1126" t="s">
        <v>1276</v>
      </c>
      <c r="BE23" s="1126">
        <v>2021</v>
      </c>
      <c r="BH23" s="1074" t="s">
        <v>1498</v>
      </c>
      <c r="BJ23" s="1074" t="s">
        <v>1451</v>
      </c>
      <c r="BL23" s="1074" t="s">
        <v>1451</v>
      </c>
      <c r="BQ23" s="1287">
        <v>4190068</v>
      </c>
      <c r="BR23" s="1074" t="s">
        <v>1575</v>
      </c>
      <c r="BS23" s="1435"/>
      <c r="BT23" s="1287">
        <v>4189675</v>
      </c>
      <c r="BU23" s="1074" t="s">
        <v>1576</v>
      </c>
      <c r="BV23" s="1076"/>
      <c r="BW23" s="1076"/>
      <c r="CC23" s="1287">
        <v>5110778</v>
      </c>
      <c r="CD23" s="1074" t="s">
        <v>1577</v>
      </c>
    </row>
    <row customHeight="1" ht="21">
      <c r="A24" s="1080" t="s">
        <v>1578</v>
      </c>
      <c r="B24" s="1081">
        <v>2022</v>
      </c>
      <c r="AW24" s="1126" t="s">
        <v>1579</v>
      </c>
      <c r="AX24" s="1126" t="s">
        <v>1579</v>
      </c>
      <c r="AZ24" s="1126" t="s">
        <v>1580</v>
      </c>
      <c r="BB24" s="1126" t="s">
        <v>1581</v>
      </c>
      <c r="BC24" s="1126" t="s">
        <v>1582</v>
      </c>
      <c r="BE24" s="1126">
        <v>2022</v>
      </c>
      <c r="BH24" s="1074" t="s">
        <v>1507</v>
      </c>
      <c r="BJ24" s="1074" t="s">
        <v>1465</v>
      </c>
      <c r="BL24" s="1074" t="s">
        <v>1465</v>
      </c>
      <c r="BQ24" s="1287">
        <v>4190069</v>
      </c>
      <c r="BR24" s="1074" t="s">
        <v>1583</v>
      </c>
      <c r="BS24" s="1435"/>
      <c r="BT24" s="1287">
        <v>4189676</v>
      </c>
      <c r="BU24" s="1074" t="s">
        <v>1584</v>
      </c>
      <c r="BV24" s="1076"/>
      <c r="BW24" s="1076"/>
      <c r="CC24" s="1287">
        <v>25575374</v>
      </c>
      <c r="CD24" s="1074" t="s">
        <v>1585</v>
      </c>
    </row>
    <row customHeight="1" ht="11.25">
      <c r="A25" s="1080" t="s">
        <v>1586</v>
      </c>
      <c r="B25" s="1081">
        <v>2023</v>
      </c>
      <c r="AW25" s="1126" t="s">
        <v>1587</v>
      </c>
      <c r="AX25" s="1126" t="s">
        <v>1587</v>
      </c>
      <c r="AZ25" s="1126" t="s">
        <v>1588</v>
      </c>
      <c r="BB25" s="1126" t="s">
        <v>1589</v>
      </c>
      <c r="BC25" s="1126" t="s">
        <v>1582</v>
      </c>
      <c r="BE25" s="1126">
        <v>2023</v>
      </c>
      <c r="BH25" s="1074" t="s">
        <v>1514</v>
      </c>
      <c r="BJ25" s="1074" t="s">
        <v>1539</v>
      </c>
      <c r="BL25" s="1074" t="s">
        <v>1539</v>
      </c>
      <c r="BQ25" s="1287">
        <v>4190070</v>
      </c>
      <c r="BR25" s="1074" t="s">
        <v>1590</v>
      </c>
      <c r="BS25" s="1435"/>
      <c r="BT25" s="1287">
        <v>4189677</v>
      </c>
      <c r="BU25" s="1074" t="s">
        <v>1591</v>
      </c>
      <c r="BV25" s="1076"/>
      <c r="BW25" s="1076"/>
    </row>
    <row customHeight="1" ht="11.25">
      <c r="A26" s="1080" t="s">
        <v>1592</v>
      </c>
      <c r="B26" s="1081">
        <v>2024</v>
      </c>
      <c r="J26" s="1737" t="s">
        <v>1593</v>
      </c>
      <c r="AX26" s="1126" t="s">
        <v>1594</v>
      </c>
      <c r="AZ26" s="1126" t="s">
        <v>1458</v>
      </c>
      <c r="BB26" s="1126" t="s">
        <v>1595</v>
      </c>
      <c r="BC26" s="1126" t="s">
        <v>1582</v>
      </c>
      <c r="BE26" s="1126">
        <v>2024</v>
      </c>
      <c r="BH26" s="1074" t="s">
        <v>1525</v>
      </c>
      <c r="BJ26" s="1074" t="s">
        <v>1476</v>
      </c>
      <c r="BL26" s="1074" t="s">
        <v>1476</v>
      </c>
      <c r="BQ26" s="1287">
        <v>4190071</v>
      </c>
      <c r="BR26" s="1074" t="s">
        <v>1596</v>
      </c>
      <c r="BS26" s="1435"/>
      <c r="BV26" s="1076"/>
      <c r="BW26" s="1076"/>
    </row>
    <row customHeight="1" ht="11.25">
      <c r="A27" s="1080" t="s">
        <v>1597</v>
      </c>
      <c r="B27" s="1081">
        <v>2025</v>
      </c>
      <c r="J27" s="182" t="s">
        <v>253</v>
      </c>
      <c r="AX27" s="1126" t="s">
        <v>1598</v>
      </c>
      <c r="BB27" s="1126" t="s">
        <v>1599</v>
      </c>
      <c r="BC27" s="1126" t="s">
        <v>1582</v>
      </c>
      <c r="BE27" s="1126">
        <v>2025</v>
      </c>
      <c r="BH27" s="1076" t="s">
        <v>28</v>
      </c>
      <c r="BJ27" s="1074" t="s">
        <v>1483</v>
      </c>
      <c r="BL27" s="1074" t="s">
        <v>1483</v>
      </c>
      <c r="BN27" s="1076" t="s">
        <v>28</v>
      </c>
      <c r="BQ27" s="1287">
        <v>4190072</v>
      </c>
      <c r="BR27" s="1074" t="s">
        <v>1600</v>
      </c>
      <c r="BS27" s="1435"/>
      <c r="BV27" s="1076"/>
      <c r="BW27" s="1076"/>
    </row>
    <row customHeight="1" ht="11.25">
      <c r="A28" s="1080" t="s">
        <v>1601</v>
      </c>
      <c r="D28" s="1107"/>
      <c r="E28" s="1108"/>
      <c r="F28" s="1108"/>
      <c r="H28" s="1109" t="s">
        <v>1602</v>
      </c>
      <c r="AX28" s="1126" t="s">
        <v>1603</v>
      </c>
      <c r="AZ28" s="1073" t="s">
        <v>1604</v>
      </c>
      <c r="BB28" s="1126" t="s">
        <v>1605</v>
      </c>
      <c r="BC28" s="1126" t="s">
        <v>1606</v>
      </c>
      <c r="BE28" s="1126">
        <v>2026</v>
      </c>
      <c r="BH28" s="1076" t="s">
        <v>28</v>
      </c>
      <c r="BJ28" s="1074" t="s">
        <v>1490</v>
      </c>
      <c r="BL28" s="1074" t="s">
        <v>1490</v>
      </c>
      <c r="BN28" s="1076" t="s">
        <v>28</v>
      </c>
      <c r="BQ28" s="1287">
        <v>4190073</v>
      </c>
      <c r="BR28" s="1074" t="s">
        <v>1607</v>
      </c>
      <c r="BS28" s="1435"/>
      <c r="BV28" s="1076"/>
      <c r="BW28" s="1076"/>
    </row>
    <row customHeight="1" ht="11.25">
      <c r="A29" s="1080" t="s">
        <v>1608</v>
      </c>
      <c r="D29" s="1110" t="s">
        <v>1609</v>
      </c>
      <c r="E29" s="1111" t="str">
        <f>IF(TEMPLATE_GROUP="","",INDEX(StartDateList,MATCH(TEMPLATE_GROUP,CodeTemplateList,0),1))</f>
        <v>01.01.2026</v>
      </c>
      <c r="F29" s="1111" t="str">
        <f>IF(TEMPLATE_GROUP="","",INDEX(EndDateList,MATCH(TEMPLATE_GROUP,CodeTemplateList,0),1))</f>
        <v>31.12.2026</v>
      </c>
      <c r="H29" s="1112" t="s">
        <v>1610</v>
      </c>
      <c r="AX29" s="1126" t="s">
        <v>1611</v>
      </c>
      <c r="AZ29" s="1126" t="s">
        <v>1261</v>
      </c>
      <c r="BB29" s="1126" t="s">
        <v>1458</v>
      </c>
      <c r="BC29" s="1097"/>
      <c r="BE29" s="1126">
        <v>2027</v>
      </c>
      <c r="BJ29" s="1074" t="s">
        <v>1498</v>
      </c>
      <c r="BL29" s="1074" t="s">
        <v>1498</v>
      </c>
    </row>
    <row customHeight="1" ht="11.25">
      <c r="A30" s="1080" t="s">
        <v>1612</v>
      </c>
      <c r="D30" s="1113"/>
      <c r="E30" s="1114"/>
      <c r="F30" s="1114"/>
      <c r="AX30" s="1126" t="s">
        <v>1613</v>
      </c>
      <c r="AZ30" s="1126" t="s">
        <v>1288</v>
      </c>
      <c r="BE30" s="1126">
        <v>2028</v>
      </c>
      <c r="BJ30" s="1074" t="s">
        <v>1614</v>
      </c>
      <c r="BL30" s="1074" t="s">
        <v>1614</v>
      </c>
    </row>
    <row customHeight="1" ht="12.75">
      <c r="A31" s="1080" t="s">
        <v>1615</v>
      </c>
      <c r="D31" s="1107"/>
      <c r="E31" s="1108"/>
      <c r="F31" s="1108"/>
      <c r="H31" s="1115"/>
      <c r="AX31" s="1126" t="s">
        <v>1616</v>
      </c>
      <c r="AZ31" s="1126" t="s">
        <v>1617</v>
      </c>
      <c r="BE31" s="1126">
        <v>2029</v>
      </c>
      <c r="BJ31" s="1074" t="s">
        <v>1618</v>
      </c>
      <c r="BL31" s="1074" t="s">
        <v>1618</v>
      </c>
    </row>
    <row customHeight="1" ht="11.25">
      <c r="A32" s="1080" t="s">
        <v>1619</v>
      </c>
      <c r="D32" s="1110" t="s">
        <v>1620</v>
      </c>
      <c r="E32" s="1111" t="str">
        <f>IF(TEMPLATE_GROUP="","",INDEX(StartDateList,MATCH(TEMPLATE_GROUP,CodeTemplateList,0),1))</f>
        <v>01.01.2026</v>
      </c>
      <c r="F32" s="1111" t="str">
        <f>IF(TEMPLATE_GROUP="","",INDEX(EndDateList,MATCH(TEMPLATE_GROUP,CodeTemplateList,0),1))</f>
        <v>31.12.2026</v>
      </c>
      <c r="H32" s="1116" t="s">
        <v>1621</v>
      </c>
      <c r="O32" s="1080" t="s">
        <v>1259</v>
      </c>
      <c r="AX32" s="1126" t="s">
        <v>1622</v>
      </c>
      <c r="AZ32" s="1126" t="s">
        <v>1354</v>
      </c>
      <c r="BE32" s="1126">
        <v>2030</v>
      </c>
      <c r="BJ32" s="1074" t="s">
        <v>1507</v>
      </c>
      <c r="BL32" s="1074" t="s">
        <v>1507</v>
      </c>
    </row>
    <row customHeight="1" ht="11.25">
      <c r="A33" s="1080" t="s">
        <v>1623</v>
      </c>
      <c r="O33" s="1080" t="s">
        <v>1285</v>
      </c>
      <c r="AX33" s="1126" t="s">
        <v>1624</v>
      </c>
      <c r="AZ33" s="1126" t="s">
        <v>1260</v>
      </c>
      <c r="BE33" s="1126">
        <v>2031</v>
      </c>
      <c r="BJ33" s="1074" t="s">
        <v>1514</v>
      </c>
      <c r="BL33" s="1074" t="s">
        <v>1514</v>
      </c>
    </row>
    <row customHeight="1" ht="11.25">
      <c r="A34" s="1080" t="s">
        <v>1625</v>
      </c>
      <c r="O34" s="1080" t="s">
        <v>1320</v>
      </c>
      <c r="AX34" s="1126" t="s">
        <v>1626</v>
      </c>
      <c r="BE34" s="1126">
        <v>2032</v>
      </c>
      <c r="BJ34" s="1074" t="s">
        <v>1525</v>
      </c>
      <c r="BL34" s="1074" t="s">
        <v>1525</v>
      </c>
    </row>
    <row customHeight="1" ht="11.25">
      <c r="A35" s="1080" t="s">
        <v>1627</v>
      </c>
      <c r="O35" s="1080" t="s">
        <v>1352</v>
      </c>
      <c r="AX35" s="1126" t="s">
        <v>1628</v>
      </c>
      <c r="AZ35" s="1073" t="s">
        <v>1629</v>
      </c>
      <c r="BE35" s="1126">
        <v>2033</v>
      </c>
      <c r="BL35" s="1074" t="s">
        <v>1630</v>
      </c>
    </row>
    <row customHeight="1" ht="11.25">
      <c r="A36" s="1876" t="s">
        <v>1631</v>
      </c>
      <c r="D36" s="1117" t="s">
        <v>1632</v>
      </c>
      <c r="E36" s="1118" t="s">
        <v>890</v>
      </c>
      <c r="F36" s="1119" t="str">
        <f>INDEX(E37:E41,MATCH(TEMPLATE_SPHERE,F37:F41,0))</f>
        <v>холодного водоснабжения</v>
      </c>
      <c r="G36" s="1119" t="str">
        <f>INDEX(G37:G41,MATCH(TEMPLATE_SPHERE,F37:F41,0))</f>
        <v>холодное водоснабжение</v>
      </c>
      <c r="O36" s="1080" t="s">
        <v>1376</v>
      </c>
      <c r="AX36" s="1126" t="s">
        <v>1633</v>
      </c>
      <c r="AZ36" s="1126" t="s">
        <v>1260</v>
      </c>
      <c r="BE36" s="1126">
        <v>2034</v>
      </c>
      <c r="BL36" s="1074" t="s">
        <v>1634</v>
      </c>
    </row>
    <row customHeight="1" ht="11.25">
      <c r="A37" s="1080" t="s">
        <v>1635</v>
      </c>
      <c r="E37" s="413" t="s">
        <v>1636</v>
      </c>
      <c r="F37" s="1120" t="s">
        <v>844</v>
      </c>
      <c r="G37" s="413" t="s">
        <v>1637</v>
      </c>
      <c r="O37" s="1080" t="s">
        <v>1394</v>
      </c>
      <c r="AX37" s="1126" t="s">
        <v>1638</v>
      </c>
      <c r="AZ37" s="1126" t="s">
        <v>1287</v>
      </c>
      <c r="BE37" s="1126">
        <v>2035</v>
      </c>
    </row>
    <row customHeight="1" ht="11.25">
      <c r="A38" s="1080" t="s">
        <v>1639</v>
      </c>
      <c r="E38" s="413" t="s">
        <v>1640</v>
      </c>
      <c r="F38" s="1121" t="s">
        <v>890</v>
      </c>
      <c r="G38" s="413" t="s">
        <v>1641</v>
      </c>
      <c r="O38" s="1080" t="s">
        <v>1410</v>
      </c>
      <c r="AX38" s="1126" t="s">
        <v>1642</v>
      </c>
      <c r="AZ38" s="1126" t="s">
        <v>1321</v>
      </c>
      <c r="BE38" s="1126">
        <v>2036</v>
      </c>
      <c r="BH38" s="1073" t="s">
        <v>1643</v>
      </c>
      <c r="BJ38" s="1073" t="s">
        <v>1644</v>
      </c>
      <c r="BL38" s="1073" t="s">
        <v>1645</v>
      </c>
      <c r="BN38" s="1073" t="s">
        <v>1646</v>
      </c>
    </row>
    <row customHeight="1" ht="11.25">
      <c r="A39" s="1080" t="s">
        <v>1647</v>
      </c>
      <c r="E39" s="413" t="s">
        <v>1648</v>
      </c>
      <c r="F39" s="1121" t="s">
        <v>943</v>
      </c>
      <c r="G39" s="413" t="s">
        <v>1649</v>
      </c>
      <c r="O39" s="1080" t="s">
        <v>1426</v>
      </c>
      <c r="AX39" s="1126" t="s">
        <v>1650</v>
      </c>
      <c r="AZ39" s="1126" t="s">
        <v>1353</v>
      </c>
      <c r="BE39" s="1126">
        <v>2037</v>
      </c>
      <c r="BH39" s="1074" t="s">
        <v>1651</v>
      </c>
      <c r="BJ39" s="1223" t="s">
        <v>1651</v>
      </c>
      <c r="BL39" s="1223" t="s">
        <v>1651</v>
      </c>
      <c r="BN39" s="1074" t="s">
        <v>1652</v>
      </c>
    </row>
    <row customHeight="1" ht="11.25">
      <c r="A40" s="1080" t="s">
        <v>1653</v>
      </c>
      <c r="E40" s="413" t="s">
        <v>1654</v>
      </c>
      <c r="F40" s="1121" t="s">
        <v>930</v>
      </c>
      <c r="G40" s="413" t="s">
        <v>1655</v>
      </c>
      <c r="O40" s="1080" t="s">
        <v>1442</v>
      </c>
      <c r="AX40" s="1126" t="s">
        <v>1656</v>
      </c>
      <c r="BE40" s="1126">
        <v>2038</v>
      </c>
      <c r="BH40" s="1074" t="s">
        <v>1657</v>
      </c>
      <c r="BJ40" s="1223" t="s">
        <v>1063</v>
      </c>
      <c r="BL40" s="1223" t="s">
        <v>1063</v>
      </c>
      <c r="BN40" s="1074" t="s">
        <v>1097</v>
      </c>
    </row>
    <row customHeight="1" ht="11.25">
      <c r="A41" s="1080" t="s">
        <v>1658</v>
      </c>
      <c r="E41" s="413" t="s">
        <v>1659</v>
      </c>
      <c r="F41" s="1121" t="s">
        <v>1660</v>
      </c>
      <c r="G41" s="413" t="s">
        <v>1659</v>
      </c>
      <c r="O41" s="1080" t="s">
        <v>1458</v>
      </c>
      <c r="AX41" s="1126" t="s">
        <v>1661</v>
      </c>
      <c r="AZ41" s="1073" t="s">
        <v>1662</v>
      </c>
      <c r="BE41" s="1126">
        <v>2039</v>
      </c>
      <c r="BH41" s="1074" t="s">
        <v>1663</v>
      </c>
      <c r="BJ41" s="1223" t="s">
        <v>1059</v>
      </c>
      <c r="BL41" s="1223" t="s">
        <v>1059</v>
      </c>
      <c r="BN41" s="1074" t="s">
        <v>1084</v>
      </c>
    </row>
    <row customHeight="1" ht="11.25">
      <c r="A42" s="1080" t="s">
        <v>1664</v>
      </c>
      <c r="AX42" s="1126" t="s">
        <v>1665</v>
      </c>
      <c r="AZ42" s="1126" t="s">
        <v>1259</v>
      </c>
      <c r="BE42" s="1126">
        <v>2040</v>
      </c>
      <c r="BH42" s="1074" t="s">
        <v>1081</v>
      </c>
      <c r="BJ42" s="1223" t="s">
        <v>1061</v>
      </c>
      <c r="BL42" s="1223" t="s">
        <v>1061</v>
      </c>
      <c r="BN42" s="1074" t="s">
        <v>1666</v>
      </c>
    </row>
    <row customHeight="1" ht="11.25">
      <c r="A43" s="1080" t="s">
        <v>1667</v>
      </c>
      <c r="AX43" s="1126" t="s">
        <v>1668</v>
      </c>
      <c r="AZ43" s="1126" t="s">
        <v>1285</v>
      </c>
      <c r="BE43" s="1126">
        <v>2041</v>
      </c>
      <c r="BH43" s="1074" t="s">
        <v>1669</v>
      </c>
      <c r="BJ43" s="1223" t="s">
        <v>1663</v>
      </c>
      <c r="BL43" s="1223" t="s">
        <v>1663</v>
      </c>
      <c r="BN43" s="1074" t="s">
        <v>1670</v>
      </c>
    </row>
    <row customHeight="1" ht="11.25">
      <c r="A44" s="1080" t="s">
        <v>1671</v>
      </c>
      <c r="G44" s="1100">
        <f>YEAR(TODAY())</f>
        <v>2026</v>
      </c>
      <c r="I44" s="805" t="s">
        <v>1672</v>
      </c>
      <c r="J44" s="1095" t="s">
        <v>1673</v>
      </c>
      <c r="K44" s="1095" t="s">
        <v>1674</v>
      </c>
      <c r="AX44" s="1126" t="s">
        <v>1675</v>
      </c>
      <c r="AZ44" s="1126" t="s">
        <v>1320</v>
      </c>
      <c r="BE44" s="1126">
        <v>2042</v>
      </c>
      <c r="BH44" s="1074" t="s">
        <v>1676</v>
      </c>
      <c r="BJ44" s="1223" t="s">
        <v>1081</v>
      </c>
      <c r="BL44" s="1223" t="s">
        <v>1081</v>
      </c>
      <c r="BN44" s="1074" t="s">
        <v>1677</v>
      </c>
    </row>
    <row customHeight="1" ht="11.25">
      <c r="A45" s="1080" t="s">
        <v>1678</v>
      </c>
      <c r="D45" s="1117" t="s">
        <v>1679</v>
      </c>
      <c r="E45" s="1118" t="s">
        <v>1680</v>
      </c>
      <c r="F45" s="803" t="s">
        <v>1681</v>
      </c>
      <c r="G45" s="802" t="s">
        <v>1682</v>
      </c>
      <c r="H45" s="805" t="s">
        <v>1683</v>
      </c>
      <c r="I45" s="1747">
        <f>INDEX(PeriodIsEmptyList,MATCH(TEMPLATE_GROUP,CodeTemplateList,0),1)</f>
        <v>0</v>
      </c>
      <c r="J45" s="1750" t="str">
        <f>INDEX(NameTemplatesInTitleList,MATCH(TEMPLATE_GROUP,CodeTemplateList,0),1)</f>
        <v>Показатели, подлежащие раскрытию в сфере холодного водоснабжения (цены и тарифы)</v>
      </c>
      <c r="K45" s="175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6" t="s">
        <v>1684</v>
      </c>
      <c r="AZ45" s="1126" t="s">
        <v>1352</v>
      </c>
      <c r="BE45" s="1126">
        <v>2043</v>
      </c>
      <c r="BH45" s="1074" t="s">
        <v>1685</v>
      </c>
      <c r="BJ45" s="1223" t="s">
        <v>1075</v>
      </c>
      <c r="BL45" s="1223" t="s">
        <v>1075</v>
      </c>
      <c r="BN45" s="1074" t="s">
        <v>1686</v>
      </c>
    </row>
    <row customHeight="1" ht="11.25">
      <c r="A46" s="1080" t="s">
        <v>1687</v>
      </c>
      <c r="E46" s="413" t="s">
        <v>26</v>
      </c>
      <c r="F46" s="1120" t="s">
        <v>1688</v>
      </c>
      <c r="G46" s="1122" t="str">
        <f>_xlfn.IFERROR(IF(TITLE_DATE_FIL="","01.01."&amp;CURRENT_YEAR,"01.01."&amp;YEAR(TITLE_DATE_FIL)),"01.01."&amp;CURRENT_YEAR)</f>
        <v>01.01.2026</v>
      </c>
      <c r="H46" s="1122" t="str">
        <f>_xlfn.IFERROR(IF(TITLE_DATE_FIL="","31.12."&amp;CURRENT_YEAR,"31.12."&amp;YEAR(TITLE_DATE_FIL)),"31.12."&amp;CURRENT_YEAR)</f>
        <v>31.12.2026</v>
      </c>
      <c r="I46" s="1748">
        <f>IF(TITLE_DATE_FIL="",TRUE,FALSE)</f>
        <v>1</v>
      </c>
      <c r="J46" s="1751" t="str">
        <f>"Общая информация о регулируемой организации ("&amp;TEMPLATE_SPHERE_RUS&amp;")"</f>
        <v>Общая информация о регулируемой организации (холодного водоснабжения)</v>
      </c>
      <c r="K46" s="1752"/>
      <c r="AX46" s="1126" t="s">
        <v>1689</v>
      </c>
      <c r="AZ46" s="1126" t="s">
        <v>1376</v>
      </c>
      <c r="BE46" s="1126">
        <v>2044</v>
      </c>
      <c r="BH46" s="1074" t="s">
        <v>1084</v>
      </c>
      <c r="BJ46" s="1223" t="s">
        <v>1065</v>
      </c>
      <c r="BL46" s="1223" t="s">
        <v>1065</v>
      </c>
      <c r="BN46" s="1074" t="s">
        <v>1690</v>
      </c>
    </row>
    <row customHeight="1" ht="11.25">
      <c r="A47" s="1080" t="s">
        <v>1691</v>
      </c>
      <c r="E47" s="413" t="s">
        <v>33</v>
      </c>
      <c r="F47" s="1121" t="s">
        <v>1692</v>
      </c>
      <c r="G47" s="1122" t="str">
        <f>_xlfn.IFERROR(IF(f_year="","01.01."&amp;CURRENT_YEAR,IF(LEN(f_quart)=0,"01.01."&amp;f_year,IF(f_quart="I квартал","01.01."&amp;f_year,IF(f_quart="II квартал","01.04."&amp;f_year,(IF(f_quart="III квартал","01.07."&amp;f_year,"01.10."&amp;f_year)))))),"01.01."&amp;CURRENT_YEAR)</f>
        <v>01.01.2026</v>
      </c>
      <c r="H47" s="1122" t="str">
        <f>_xlfn.IFERROR(IF(f_year="","31.12."&amp;CURRENT_YEAR,IF(LEN(f_quart)=0,"31.12."&amp;f_year,IF(f_quart="I квартал","31.03."&amp;f_year,IF(f_quart="II квартал","30.06."&amp;f_year,(IF(f_quart="III квартал","30.09."&amp;f_year,"31.12."&amp;f_year)))))),"31.12."&amp;CURRENT_YEAR)</f>
        <v>31.12.2026</v>
      </c>
      <c r="I47" s="1749">
        <f>IF(OR(f_year="",f_quart=""),TRUE,FALSE)</f>
        <v>1</v>
      </c>
      <c r="J47" s="175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2"/>
      <c r="AX47" s="1126" t="s">
        <v>1693</v>
      </c>
      <c r="AZ47" s="1126" t="s">
        <v>1394</v>
      </c>
      <c r="BE47" s="1126">
        <v>2045</v>
      </c>
      <c r="BH47" s="1074" t="s">
        <v>1666</v>
      </c>
      <c r="BJ47" s="1223" t="s">
        <v>1067</v>
      </c>
      <c r="BL47" s="1223" t="s">
        <v>1067</v>
      </c>
      <c r="BN47" s="1074" t="s">
        <v>1694</v>
      </c>
    </row>
    <row customHeight="1" ht="11.25">
      <c r="A48" s="1080" t="s">
        <v>1695</v>
      </c>
      <c r="E48" s="413" t="s">
        <v>1696</v>
      </c>
      <c r="F48" s="1121" t="s">
        <v>1697</v>
      </c>
      <c r="G48" s="1122" t="str">
        <f>_xlfn.IFERROR(IF(f_year="","01.01."&amp;CURRENT_YEAR,"01.01."&amp;f_year),"01.01."&amp;CURRENT_YEAR)</f>
        <v>01.01.2026</v>
      </c>
      <c r="H48" s="1122" t="str">
        <f>_xlfn.IFERROR(IF(f_year="","31.12."&amp;CURRENT_YEAR,"31.12."&amp;f_year),"31.12."&amp;CURRENT_YEAR)</f>
        <v>31.12.2026</v>
      </c>
      <c r="I48" s="1748">
        <f>IF(f_year="",TRUE,FALSE)</f>
        <v>1</v>
      </c>
      <c r="J48" s="1751" t="s">
        <v>1698</v>
      </c>
      <c r="K48" s="1752"/>
      <c r="AX48" s="1126" t="s">
        <v>1699</v>
      </c>
      <c r="AZ48" s="1126" t="s">
        <v>1410</v>
      </c>
      <c r="BE48" s="1126">
        <v>2046</v>
      </c>
      <c r="BH48" s="1074" t="s">
        <v>1670</v>
      </c>
      <c r="BJ48" s="1223" t="s">
        <v>1069</v>
      </c>
      <c r="BL48" s="1223" t="s">
        <v>1069</v>
      </c>
      <c r="BN48" s="1074" t="s">
        <v>1700</v>
      </c>
    </row>
    <row customHeight="1" ht="11.25">
      <c r="A49" s="1080" t="s">
        <v>1701</v>
      </c>
      <c r="E49" s="413" t="s">
        <v>1702</v>
      </c>
      <c r="F49" s="1121" t="s">
        <v>1703</v>
      </c>
      <c r="G49" s="1122" t="str">
        <f>_xlfn.IFERROR(IF(f_year="","01.01."&amp;CURRENT_YEAR,"01.01."&amp;f_year),"01.01."&amp;CURRENT_YEAR)</f>
        <v>01.01.2026</v>
      </c>
      <c r="H49" s="1122" t="str">
        <f>_xlfn.IFERROR(IF(f_year="","31.12."&amp;CURRENT_YEAR,"31.12."&amp;f_year),"31.12."&amp;CURRENT_YEAR)</f>
        <v>31.12.2026</v>
      </c>
      <c r="I49" s="1748">
        <f>IF(f_year="",TRUE,FALSE)</f>
        <v>1</v>
      </c>
      <c r="J49" s="175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2"/>
      <c r="AX49" s="1126" t="s">
        <v>1704</v>
      </c>
      <c r="AZ49" s="1126" t="s">
        <v>1426</v>
      </c>
      <c r="BE49" s="1126">
        <v>2047</v>
      </c>
      <c r="BH49" s="1074" t="s">
        <v>1085</v>
      </c>
      <c r="BJ49" s="1223" t="s">
        <v>1071</v>
      </c>
      <c r="BL49" s="1223" t="s">
        <v>1071</v>
      </c>
    </row>
    <row customHeight="1" ht="11.25">
      <c r="A50" s="1080" t="s">
        <v>1705</v>
      </c>
      <c r="E50" s="413" t="s">
        <v>1706</v>
      </c>
      <c r="F50" s="1121" t="s">
        <v>1055</v>
      </c>
      <c r="G50" s="1122" t="str">
        <f>_xlfn.IFERROR(IF(f_year="","01.01."&amp;CURRENT_YEAR,"01.01."&amp;f_year),"01.01."&amp;CURRENT_YEAR)</f>
        <v>01.01.2026</v>
      </c>
      <c r="H50" s="1122" t="str">
        <f>_xlfn.IFERROR(IF(f_year="","31.12."&amp;CURRENT_YEAR,"31.12."&amp;f_year),"31.12."&amp;CURRENT_YEAR)</f>
        <v>31.12.2026</v>
      </c>
      <c r="I50" s="1748">
        <f>IF(f_year="",TRUE,FALSE)</f>
        <v>1</v>
      </c>
      <c r="J50" s="175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2"/>
      <c r="AX50" s="1126" t="s">
        <v>1707</v>
      </c>
      <c r="AZ50" s="1126" t="s">
        <v>1442</v>
      </c>
      <c r="BE50" s="1126">
        <v>2048</v>
      </c>
      <c r="BH50" s="1074" t="s">
        <v>1677</v>
      </c>
      <c r="BJ50" s="1223" t="s">
        <v>1073</v>
      </c>
      <c r="BL50" s="1223" t="s">
        <v>1073</v>
      </c>
    </row>
    <row customHeight="1" ht="11.25">
      <c r="A51" s="1080" t="s">
        <v>1708</v>
      </c>
      <c r="E51" s="413" t="s">
        <v>1709</v>
      </c>
      <c r="F51" s="1121" t="s">
        <v>1710</v>
      </c>
      <c r="G51" s="1122" t="str">
        <f>_xlfn.IFERROR(IF(TITLE_PERIOD_START="","01.01."&amp;CURRENT_YEAR,"01.01."&amp;YEAR(TITLE_PERIOD_START)),"01.01."&amp;CURRENT_YEAR)</f>
        <v>01.01.2026</v>
      </c>
      <c r="H51" s="1122" t="str">
        <f>_xlfn.IFERROR(IF(TITLE_PERIOD_END="","31.12."&amp;CURRENT_YEAR,"31.12."&amp;YEAR(TITLE_PERIOD_END)),"31.12."&amp;CURRENT_YEAR)</f>
        <v>31.12.2026</v>
      </c>
      <c r="I51" s="1749">
        <f>IF(OR(TITLE_PERIOD_START="",TITLE_PERIOD_END=""),TRUE,FALSE)</f>
        <v>0</v>
      </c>
      <c r="J51" s="175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2"/>
      <c r="AX51" s="1126" t="s">
        <v>1711</v>
      </c>
      <c r="AZ51" s="1126" t="s">
        <v>1458</v>
      </c>
      <c r="BE51" s="1126">
        <v>2049</v>
      </c>
      <c r="BH51" s="1074" t="s">
        <v>1686</v>
      </c>
      <c r="BJ51" s="1223" t="s">
        <v>1712</v>
      </c>
      <c r="BL51" s="1223" t="s">
        <v>1712</v>
      </c>
    </row>
    <row customHeight="1" ht="11.25">
      <c r="A52" s="1080" t="s">
        <v>1713</v>
      </c>
      <c r="E52" s="413" t="s">
        <v>1714</v>
      </c>
      <c r="F52" s="1121" t="s">
        <v>1680</v>
      </c>
      <c r="G52" s="1122" t="str">
        <f>_xlfn.IFERROR(IF(TITLE_PERIOD_START="","01.01."&amp;CURRENT_YEAR,"01.01."&amp;YEAR(TITLE_PERIOD_START)),"01.01."&amp;CURRENT_YEAR)</f>
        <v>01.01.2026</v>
      </c>
      <c r="H52" s="1122" t="str">
        <f>_xlfn.IFERROR(IF(TITLE_PERIOD_END="","31.12."&amp;CURRENT_YEAR,"31.12."&amp;YEAR(TITLE_PERIOD_END)),"31.12."&amp;CURRENT_YEAR)</f>
        <v>31.12.2026</v>
      </c>
      <c r="I52" s="1749">
        <f>IF(OR(TITLE_PERIOD_START="",TITLE_PERIOD_END=""),TRUE,FALSE)</f>
        <v>0</v>
      </c>
      <c r="J52" s="175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2"/>
      <c r="AX52" s="1126" t="s">
        <v>1715</v>
      </c>
      <c r="AZ52" s="1126" t="s">
        <v>1260</v>
      </c>
      <c r="BE52" s="1126">
        <v>2050</v>
      </c>
      <c r="BH52" s="1074" t="s">
        <v>1690</v>
      </c>
      <c r="BJ52" s="1223" t="s">
        <v>1084</v>
      </c>
      <c r="BL52" s="1223" t="s">
        <v>1084</v>
      </c>
    </row>
    <row customHeight="1" ht="11.25">
      <c r="A53" s="1080" t="s">
        <v>1716</v>
      </c>
      <c r="E53" s="413" t="s">
        <v>1717</v>
      </c>
      <c r="F53" s="1121" t="s">
        <v>1717</v>
      </c>
      <c r="G53" s="1122" t="str">
        <f>_xlfn.IFERROR(IF(f_year="","01.01."&amp;CURRENT_YEAR,"01.01."&amp;f_year),"01.01."&amp;CURRENT_YEAR)</f>
        <v>01.01.2026</v>
      </c>
      <c r="H53" s="1122" t="str">
        <f>_xlfn.IFERROR(IF(f_year="","31.12."&amp;CURRENT_YEAR,"31.12."&amp;f_year),"31.12."&amp;CURRENT_YEAR)</f>
        <v>31.12.2026</v>
      </c>
      <c r="I53" s="1748">
        <f>IF(AND(f_year="",TITLE_DATE_FIL=""),TRUE,FALSE)</f>
        <v>1</v>
      </c>
      <c r="J53" s="1751" t="s">
        <v>1718</v>
      </c>
      <c r="K53" s="1752"/>
      <c r="AX53" s="1126" t="s">
        <v>1719</v>
      </c>
      <c r="BE53" s="1126">
        <v>2051</v>
      </c>
      <c r="BH53" s="1074" t="s">
        <v>1694</v>
      </c>
      <c r="BJ53" s="1223" t="s">
        <v>1666</v>
      </c>
      <c r="BL53" s="1223" t="s">
        <v>1666</v>
      </c>
    </row>
    <row customHeight="1" ht="11.25">
      <c r="A54" s="1080" t="s">
        <v>1720</v>
      </c>
      <c r="AX54" s="1126" t="s">
        <v>1721</v>
      </c>
      <c r="AZ54" s="1073" t="s">
        <v>1722</v>
      </c>
      <c r="BE54" s="1126">
        <v>2052</v>
      </c>
      <c r="BH54" s="1074" t="s">
        <v>1700</v>
      </c>
      <c r="BJ54" s="1223" t="s">
        <v>1670</v>
      </c>
      <c r="BL54" s="1223" t="s">
        <v>1670</v>
      </c>
    </row>
    <row customHeight="1" ht="11.25">
      <c r="A55" s="1080" t="s">
        <v>1723</v>
      </c>
      <c r="AX55" s="1126" t="s">
        <v>1724</v>
      </c>
      <c r="AZ55" s="1126" t="s">
        <v>1262</v>
      </c>
      <c r="BE55" s="1126">
        <v>2053</v>
      </c>
      <c r="BH55" s="1076" t="s">
        <v>28</v>
      </c>
      <c r="BJ55" s="1223" t="s">
        <v>1085</v>
      </c>
      <c r="BL55" s="1223" t="s">
        <v>1085</v>
      </c>
    </row>
    <row customHeight="1" ht="11.25">
      <c r="A56" s="1080" t="s">
        <v>1725</v>
      </c>
      <c r="D56" s="1124" t="s">
        <v>1726</v>
      </c>
      <c r="E56" s="1101" t="s">
        <v>113</v>
      </c>
      <c r="F56" s="1080" t="s">
        <v>1727</v>
      </c>
      <c r="AX56" s="1126" t="s">
        <v>1728</v>
      </c>
      <c r="AZ56" s="1126" t="s">
        <v>1289</v>
      </c>
      <c r="BE56" s="1126">
        <v>2054</v>
      </c>
      <c r="BH56" s="1076" t="s">
        <v>28</v>
      </c>
      <c r="BJ56" s="1223" t="s">
        <v>1677</v>
      </c>
      <c r="BL56" s="1223" t="s">
        <v>1677</v>
      </c>
    </row>
    <row customHeight="1" ht="11.25">
      <c r="A57" s="1080" t="s">
        <v>1729</v>
      </c>
      <c r="D57" s="1124" t="s">
        <v>1730</v>
      </c>
      <c r="E57" s="1101" t="s">
        <v>113</v>
      </c>
      <c r="F57" s="1080" t="s">
        <v>1727</v>
      </c>
      <c r="AX57" s="1126" t="s">
        <v>1731</v>
      </c>
      <c r="AZ57" s="1126" t="s">
        <v>1323</v>
      </c>
      <c r="BE57" s="1126">
        <v>2055</v>
      </c>
      <c r="BJ57" s="1223" t="s">
        <v>1686</v>
      </c>
      <c r="BL57" s="1223" t="s">
        <v>1686</v>
      </c>
    </row>
    <row customHeight="1" ht="11.25">
      <c r="A58" s="1080" t="s">
        <v>1732</v>
      </c>
      <c r="D58" s="1124" t="s">
        <v>1733</v>
      </c>
      <c r="E58" s="1101" t="s">
        <v>113</v>
      </c>
      <c r="F58" s="1080" t="s">
        <v>1727</v>
      </c>
      <c r="AX58" s="1126" t="s">
        <v>1734</v>
      </c>
      <c r="BE58" s="1126">
        <v>2056</v>
      </c>
      <c r="BJ58" s="1223" t="s">
        <v>1690</v>
      </c>
      <c r="BL58" s="1223" t="s">
        <v>1690</v>
      </c>
    </row>
    <row customHeight="1" ht="11.25">
      <c r="A59" s="1080" t="s">
        <v>1735</v>
      </c>
      <c r="D59" s="1124" t="s">
        <v>133</v>
      </c>
      <c r="E59" s="1101" t="s">
        <v>1622</v>
      </c>
      <c r="F59" s="1080" t="s">
        <v>1736</v>
      </c>
      <c r="AX59" s="1126" t="s">
        <v>1737</v>
      </c>
      <c r="AZ59" s="1073" t="s">
        <v>1738</v>
      </c>
      <c r="BE59" s="1126">
        <v>2057</v>
      </c>
      <c r="BJ59" s="1223" t="s">
        <v>1694</v>
      </c>
      <c r="BL59" s="1223" t="s">
        <v>1694</v>
      </c>
    </row>
    <row customHeight="1" ht="11.25">
      <c r="A60" s="1080" t="s">
        <v>1739</v>
      </c>
      <c r="D60" s="1124" t="s">
        <v>1740</v>
      </c>
      <c r="E60" s="1101" t="s">
        <v>1622</v>
      </c>
      <c r="F60" s="1080" t="s">
        <v>1736</v>
      </c>
      <c r="AX60" s="1126" t="s">
        <v>1741</v>
      </c>
      <c r="AZ60" s="1126" t="s">
        <v>1263</v>
      </c>
      <c r="BE60" s="1126">
        <v>2058</v>
      </c>
      <c r="BJ60" s="1223" t="s">
        <v>1700</v>
      </c>
      <c r="BL60" s="1223" t="s">
        <v>1700</v>
      </c>
    </row>
    <row customHeight="1" ht="11.25">
      <c r="A61" s="1080" t="s">
        <v>1742</v>
      </c>
      <c r="D61" s="1124" t="s">
        <v>1743</v>
      </c>
      <c r="E61" s="1101" t="s">
        <v>1744</v>
      </c>
      <c r="F61" s="1080" t="s">
        <v>1736</v>
      </c>
      <c r="AX61" s="1126" t="s">
        <v>1745</v>
      </c>
      <c r="AZ61" s="1126" t="s">
        <v>1290</v>
      </c>
      <c r="BE61" s="1126">
        <v>2059</v>
      </c>
      <c r="BL61" s="1223" t="s">
        <v>1077</v>
      </c>
    </row>
    <row customHeight="1" ht="11.25">
      <c r="A62" s="1080" t="s">
        <v>1746</v>
      </c>
      <c r="D62" s="1124" t="s">
        <v>132</v>
      </c>
      <c r="E62" s="1101">
        <v>32</v>
      </c>
      <c r="F62" s="1080" t="s">
        <v>1736</v>
      </c>
      <c r="AZ62" s="1126" t="s">
        <v>1324</v>
      </c>
      <c r="BE62" s="1126">
        <v>2060</v>
      </c>
      <c r="BL62" s="1223" t="s">
        <v>1079</v>
      </c>
    </row>
    <row customHeight="1" ht="11.25">
      <c r="A63" s="1080" t="s">
        <v>16</v>
      </c>
      <c r="D63" s="1124" t="s">
        <v>1747</v>
      </c>
      <c r="E63" s="1101">
        <v>32</v>
      </c>
      <c r="F63" s="1080" t="s">
        <v>1736</v>
      </c>
      <c r="AZ63" s="1126" t="s">
        <v>1355</v>
      </c>
      <c r="BE63" s="1126">
        <v>2061</v>
      </c>
    </row>
    <row customHeight="1" ht="11.25">
      <c r="A64" s="1080" t="s">
        <v>1748</v>
      </c>
      <c r="D64" s="1124" t="s">
        <v>1749</v>
      </c>
      <c r="E64" s="1101">
        <v>32</v>
      </c>
      <c r="F64" s="1080" t="s">
        <v>1736</v>
      </c>
      <c r="AZ64" s="1126" t="s">
        <v>1377</v>
      </c>
      <c r="BE64" s="1126">
        <v>2062</v>
      </c>
    </row>
    <row customHeight="1" ht="11.25">
      <c r="A65" s="1080" t="s">
        <v>1750</v>
      </c>
      <c r="D65" s="1080"/>
      <c r="BE65" s="1126">
        <v>2063</v>
      </c>
    </row>
    <row customHeight="1" ht="11.25">
      <c r="A66" s="1080" t="s">
        <v>1751</v>
      </c>
      <c r="AZ66" s="1073" t="s">
        <v>1752</v>
      </c>
      <c r="BE66" s="1126">
        <v>2064</v>
      </c>
    </row>
    <row customHeight="1" ht="11.25">
      <c r="A67" s="1080" t="s">
        <v>1753</v>
      </c>
      <c r="AZ67" s="1126" t="s">
        <v>1264</v>
      </c>
      <c r="BE67" s="1126">
        <v>2065</v>
      </c>
    </row>
    <row customHeight="1" ht="11.25">
      <c r="A68" s="1080" t="s">
        <v>1754</v>
      </c>
      <c r="AZ68" s="1126" t="s">
        <v>1291</v>
      </c>
      <c r="BE68" s="1126">
        <v>2066</v>
      </c>
      <c r="BH68" s="1073" t="s">
        <v>1755</v>
      </c>
      <c r="BJ68" s="1073" t="s">
        <v>1756</v>
      </c>
      <c r="BL68" s="1073" t="s">
        <v>1757</v>
      </c>
      <c r="BN68" s="1073" t="s">
        <v>1758</v>
      </c>
    </row>
    <row customHeight="1" ht="11.25">
      <c r="A69" s="1080" t="s">
        <v>1759</v>
      </c>
      <c r="AZ69" s="1126" t="s">
        <v>1325</v>
      </c>
      <c r="BE69" s="1126">
        <v>2067</v>
      </c>
      <c r="BH69" s="1074" t="s">
        <v>1760</v>
      </c>
      <c r="BI69" s="1123" t="s">
        <v>111</v>
      </c>
      <c r="BJ69" s="1074" t="s">
        <v>1761</v>
      </c>
      <c r="BK69" s="1123" t="s">
        <v>111</v>
      </c>
      <c r="BL69" s="1074" t="s">
        <v>1762</v>
      </c>
      <c r="BM69" s="1076" t="s">
        <v>111</v>
      </c>
      <c r="BN69" s="1074" t="s">
        <v>1763</v>
      </c>
    </row>
    <row customHeight="1" ht="11.25">
      <c r="A70" s="1080" t="s">
        <v>1764</v>
      </c>
      <c r="AZ70" s="1126" t="s">
        <v>1356</v>
      </c>
      <c r="BE70" s="1126">
        <v>2068</v>
      </c>
      <c r="BH70" s="1074" t="s">
        <v>1765</v>
      </c>
      <c r="BJ70" s="1074" t="s">
        <v>1766</v>
      </c>
      <c r="BL70" s="1074" t="s">
        <v>1767</v>
      </c>
      <c r="BN70" s="1074" t="s">
        <v>1768</v>
      </c>
    </row>
    <row customHeight="1" ht="11.25">
      <c r="A71" s="1080" t="s">
        <v>1769</v>
      </c>
      <c r="AZ71" s="1126" t="s">
        <v>1358</v>
      </c>
      <c r="BE71" s="1126">
        <v>2069</v>
      </c>
      <c r="BH71" s="1074" t="s">
        <v>1770</v>
      </c>
      <c r="BI71" s="1123" t="s">
        <v>91</v>
      </c>
      <c r="BJ71" s="1074" t="s">
        <v>1771</v>
      </c>
      <c r="BK71" s="1123" t="s">
        <v>91</v>
      </c>
      <c r="BL71" s="1074" t="s">
        <v>1772</v>
      </c>
      <c r="BM71" s="1076" t="s">
        <v>91</v>
      </c>
      <c r="BN71" s="1074" t="s">
        <v>1773</v>
      </c>
    </row>
    <row customHeight="1" ht="11.25">
      <c r="A72" s="1080" t="s">
        <v>1774</v>
      </c>
      <c r="AZ72" s="1126" t="s">
        <v>19</v>
      </c>
      <c r="BE72" s="1126">
        <v>2070</v>
      </c>
      <c r="BH72" s="1074" t="s">
        <v>1775</v>
      </c>
      <c r="BJ72" s="1074" t="s">
        <v>1775</v>
      </c>
      <c r="BL72" s="1074" t="s">
        <v>1775</v>
      </c>
      <c r="BN72" s="1074" t="s">
        <v>1776</v>
      </c>
    </row>
    <row customHeight="1" ht="11.25">
      <c r="A73" s="1080" t="s">
        <v>1777</v>
      </c>
      <c r="BH73" s="1074" t="s">
        <v>1778</v>
      </c>
      <c r="BI73" s="1123" t="s">
        <v>113</v>
      </c>
      <c r="BJ73" s="1074" t="s">
        <v>1779</v>
      </c>
      <c r="BK73" s="1123" t="s">
        <v>113</v>
      </c>
      <c r="BL73" s="1074" t="s">
        <v>1780</v>
      </c>
      <c r="BM73" s="1076" t="s">
        <v>113</v>
      </c>
      <c r="BN73" s="1074" t="s">
        <v>1781</v>
      </c>
    </row>
    <row customHeight="1" ht="11.25">
      <c r="A74" s="1080" t="s">
        <v>1782</v>
      </c>
      <c r="BH74" s="1074" t="s">
        <v>1783</v>
      </c>
      <c r="BJ74" s="1074" t="s">
        <v>1784</v>
      </c>
      <c r="BL74" s="1074" t="s">
        <v>1785</v>
      </c>
      <c r="BN74" s="1074" t="s">
        <v>1786</v>
      </c>
    </row>
    <row customHeight="1" ht="11.25">
      <c r="A75" s="1080" t="s">
        <v>1787</v>
      </c>
      <c r="AZ75" s="1073" t="s">
        <v>1788</v>
      </c>
      <c r="BH75" s="1074" t="s">
        <v>1789</v>
      </c>
      <c r="BJ75" s="1074" t="s">
        <v>1789</v>
      </c>
      <c r="BL75" s="1074" t="s">
        <v>1789</v>
      </c>
    </row>
    <row customHeight="1" ht="11.25">
      <c r="A76" s="1080" t="s">
        <v>1790</v>
      </c>
      <c r="AZ76" s="1126" t="s">
        <v>532</v>
      </c>
      <c r="BH76" s="1074" t="s">
        <v>1791</v>
      </c>
      <c r="BJ76" s="1074" t="s">
        <v>1792</v>
      </c>
      <c r="BL76" s="1074" t="s">
        <v>1793</v>
      </c>
    </row>
    <row customHeight="1" ht="11.25">
      <c r="A77" s="1080" t="s">
        <v>1794</v>
      </c>
      <c r="AZ77" s="1126" t="s">
        <v>533</v>
      </c>
    </row>
    <row customHeight="1" ht="11.25">
      <c r="A78" s="1080" t="s">
        <v>1795</v>
      </c>
      <c r="AZ78" s="1126" t="s">
        <v>534</v>
      </c>
    </row>
    <row customHeight="1" ht="11.25">
      <c r="A79" s="1080" t="s">
        <v>1796</v>
      </c>
      <c r="AZ79" s="1126" t="s">
        <v>535</v>
      </c>
      <c r="BH79" s="1073" t="s">
        <v>1797</v>
      </c>
      <c r="BJ79" s="1073" t="s">
        <v>1798</v>
      </c>
      <c r="BL79" s="1073" t="s">
        <v>1799</v>
      </c>
    </row>
    <row customHeight="1" ht="11.25">
      <c r="A80" s="1080" t="s">
        <v>1800</v>
      </c>
      <c r="AZ80" s="1126" t="s">
        <v>536</v>
      </c>
      <c r="BH80" s="1074" t="s">
        <v>1801</v>
      </c>
      <c r="BJ80" s="1074" t="s">
        <v>1802</v>
      </c>
      <c r="BL80" s="1074" t="s">
        <v>1803</v>
      </c>
    </row>
    <row customHeight="1" ht="11.25">
      <c r="A81" s="1080" t="s">
        <v>1804</v>
      </c>
      <c r="AZ81" s="1126" t="s">
        <v>537</v>
      </c>
      <c r="BH81" s="1074" t="s">
        <v>1805</v>
      </c>
      <c r="BJ81" s="1074" t="s">
        <v>1806</v>
      </c>
      <c r="BL81" s="1074" t="s">
        <v>1807</v>
      </c>
    </row>
    <row customHeight="1" ht="11.25">
      <c r="A82" s="1080" t="s">
        <v>1808</v>
      </c>
      <c r="AZ82" s="1126" t="s">
        <v>1412</v>
      </c>
      <c r="BH82" s="1074" t="s">
        <v>1809</v>
      </c>
      <c r="BJ82" s="1074" t="s">
        <v>1810</v>
      </c>
      <c r="BL82" s="1074" t="s">
        <v>1811</v>
      </c>
    </row>
    <row customHeight="1" ht="11.25">
      <c r="A83" s="1080" t="s">
        <v>1812</v>
      </c>
      <c r="BH83" s="1074" t="s">
        <v>1813</v>
      </c>
      <c r="BJ83" s="1074" t="s">
        <v>1814</v>
      </c>
      <c r="BL83" s="1074" t="s">
        <v>1815</v>
      </c>
    </row>
    <row customHeight="1" ht="11.25">
      <c r="A84" s="1080" t="s">
        <v>1816</v>
      </c>
      <c r="AZ84" s="1073" t="s">
        <v>1817</v>
      </c>
    </row>
    <row customHeight="1" ht="11.25">
      <c r="A85" s="1876" t="s">
        <v>1818</v>
      </c>
      <c r="AZ85" s="1126" t="s">
        <v>1819</v>
      </c>
    </row>
    <row customHeight="1" ht="11.25">
      <c r="A86" s="1080" t="s">
        <v>1820</v>
      </c>
      <c r="AZ86" s="1126" t="s">
        <v>1821</v>
      </c>
      <c r="BH86" s="1073" t="s">
        <v>1822</v>
      </c>
      <c r="BJ86" s="1073" t="s">
        <v>1823</v>
      </c>
      <c r="BL86" s="1073" t="s">
        <v>1824</v>
      </c>
    </row>
    <row customHeight="1" ht="11.25">
      <c r="A87" s="1080" t="s">
        <v>1825</v>
      </c>
      <c r="AZ87" s="1126" t="s">
        <v>1826</v>
      </c>
      <c r="BH87" s="1074" t="s">
        <v>1827</v>
      </c>
      <c r="BJ87" s="1074" t="s">
        <v>1828</v>
      </c>
      <c r="BL87" s="1074" t="s">
        <v>1829</v>
      </c>
    </row>
    <row customHeight="1" ht="11.25">
      <c r="A88" s="1080" t="s">
        <v>1830</v>
      </c>
      <c r="AZ88" s="1612"/>
      <c r="BH88" s="1074" t="s">
        <v>1831</v>
      </c>
      <c r="BJ88" s="1074" t="s">
        <v>1832</v>
      </c>
      <c r="BL88" s="1074" t="s">
        <v>1833</v>
      </c>
    </row>
    <row customHeight="1" ht="11.25">
      <c r="A89" s="1080" t="s">
        <v>1834</v>
      </c>
      <c r="AZ89" s="1073" t="s">
        <v>1835</v>
      </c>
    </row>
    <row customHeight="1" ht="11.25">
      <c r="A90" s="1080" t="s">
        <v>1836</v>
      </c>
      <c r="AZ90" s="1126" t="s">
        <v>1055</v>
      </c>
    </row>
    <row customHeight="1" ht="11.25">
      <c r="A91" s="1080" t="s">
        <v>1837</v>
      </c>
      <c r="AZ91" s="1126" t="s">
        <v>1091</v>
      </c>
      <c r="BH91" s="1073" t="s">
        <v>1838</v>
      </c>
      <c r="BJ91" s="1073" t="s">
        <v>1839</v>
      </c>
      <c r="BL91" s="1073" t="s">
        <v>1840</v>
      </c>
    </row>
    <row customHeight="1" ht="11.25">
      <c r="AZ92" s="1126" t="s">
        <v>1841</v>
      </c>
      <c r="BH92" s="1074" t="s">
        <v>1842</v>
      </c>
      <c r="BJ92" s="1074" t="s">
        <v>1843</v>
      </c>
      <c r="BL92" s="1074" t="s">
        <v>1844</v>
      </c>
    </row>
    <row customHeight="1" ht="11.25">
      <c r="AZ93" s="1126" t="s">
        <v>1845</v>
      </c>
      <c r="BH93" s="1074" t="s">
        <v>1846</v>
      </c>
      <c r="BJ93" s="1074" t="s">
        <v>1847</v>
      </c>
      <c r="BL93" s="1074" t="s">
        <v>1848</v>
      </c>
    </row>
    <row customHeight="1" ht="11.25">
      <c r="AZ94" s="1126" t="s">
        <v>1849</v>
      </c>
    </row>
    <row r="96" customHeight="1" ht="11.25">
      <c r="AZ96" s="1073" t="s">
        <v>1850</v>
      </c>
      <c r="BH96" s="1073" t="s">
        <v>1851</v>
      </c>
      <c r="BJ96" s="1073" t="s">
        <v>1852</v>
      </c>
      <c r="BL96" s="1073" t="s">
        <v>1853</v>
      </c>
      <c r="BN96" s="1073" t="s">
        <v>1854</v>
      </c>
    </row>
    <row customHeight="1" ht="11.25">
      <c r="AZ97" s="1907" t="s">
        <v>1855</v>
      </c>
      <c r="BA97" s="1908" t="s">
        <v>1856</v>
      </c>
      <c r="BH97" s="1074" t="s">
        <v>1857</v>
      </c>
      <c r="BJ97" s="1074" t="s">
        <v>1858</v>
      </c>
      <c r="BL97" s="1074" t="s">
        <v>1859</v>
      </c>
      <c r="BN97" s="1074" t="s">
        <v>1860</v>
      </c>
    </row>
    <row customHeight="1" ht="11.25">
      <c r="AZ98" s="1907" t="s">
        <v>1861</v>
      </c>
      <c r="BA98" s="1908" t="s">
        <v>1862</v>
      </c>
      <c r="BH98" s="1074" t="s">
        <v>1863</v>
      </c>
      <c r="BJ98" s="1074" t="s">
        <v>1864</v>
      </c>
      <c r="BL98" s="1074" t="s">
        <v>1865</v>
      </c>
      <c r="BN98" s="1074" t="s">
        <v>1866</v>
      </c>
    </row>
    <row customHeight="1" ht="22.5">
      <c r="AZ99" s="1907" t="s">
        <v>1867</v>
      </c>
      <c r="BA99" s="190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4" t="s">
        <v>1868</v>
      </c>
      <c r="BJ99" s="1074" t="s">
        <v>1869</v>
      </c>
      <c r="BL99" s="1074" t="s">
        <v>1870</v>
      </c>
      <c r="BN99" s="1074" t="s">
        <v>1871</v>
      </c>
    </row>
    <row customHeight="1" ht="22.5">
      <c r="AZ100" s="1907" t="s">
        <v>1872</v>
      </c>
      <c r="BA100"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4" t="s">
        <v>1458</v>
      </c>
      <c r="BL100" s="1074" t="s">
        <v>1458</v>
      </c>
      <c r="BN100" s="1074" t="s">
        <v>1873</v>
      </c>
    </row>
    <row customHeight="1" ht="22.5">
      <c r="AZ101" s="1907" t="s">
        <v>1874</v>
      </c>
      <c r="BA101" s="1908" t="s">
        <v>1875</v>
      </c>
      <c r="BN101" s="1074" t="s">
        <v>1876</v>
      </c>
    </row>
    <row customHeight="1" ht="22.5">
      <c r="AZ102" s="1907" t="s">
        <v>1877</v>
      </c>
      <c r="BA102"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4" t="s">
        <v>1878</v>
      </c>
    </row>
    <row customHeight="1" ht="11.25">
      <c r="AZ103" s="1907" t="s">
        <v>1879</v>
      </c>
      <c r="BA103" s="1908" t="s">
        <v>1880</v>
      </c>
      <c r="BN103" s="1074" t="s">
        <v>1881</v>
      </c>
    </row>
    <row customHeight="1" ht="11.25">
      <c r="BN104" s="1074" t="s">
        <v>1882</v>
      </c>
    </row>
    <row customHeight="1" ht="11.25">
      <c r="AZ105" s="1698" t="s">
        <v>1883</v>
      </c>
    </row>
    <row customHeight="1" ht="11.25">
      <c r="AZ106" s="1126" t="s">
        <v>1884</v>
      </c>
    </row>
    <row customHeight="1" ht="11.25">
      <c r="AZ107" s="1126" t="s">
        <v>1885</v>
      </c>
      <c r="BH107" s="1073" t="s">
        <v>1886</v>
      </c>
      <c r="BJ107" s="1073" t="s">
        <v>1887</v>
      </c>
      <c r="BL107" s="1073" t="s">
        <v>1888</v>
      </c>
      <c r="BN107" s="1073" t="s">
        <v>1889</v>
      </c>
    </row>
    <row customHeight="1" ht="11.25">
      <c r="AZ108" s="1126" t="s">
        <v>608</v>
      </c>
      <c r="BH108" s="1074" t="s">
        <v>1890</v>
      </c>
      <c r="BJ108" s="1074" t="s">
        <v>1891</v>
      </c>
      <c r="BL108" s="1074" t="s">
        <v>1544</v>
      </c>
      <c r="BN108" s="1074" t="s">
        <v>1892</v>
      </c>
    </row>
    <row customHeight="1" ht="11.25">
      <c r="BH109" s="1074" t="s">
        <v>1893</v>
      </c>
    </row>
    <row customHeight="1" ht="11.25">
      <c r="AZ110" s="1698" t="s">
        <v>1894</v>
      </c>
      <c r="BH110" s="1074" t="s">
        <v>1893</v>
      </c>
    </row>
    <row customHeight="1" ht="11.25">
      <c r="AZ111" s="1907" t="s">
        <v>1855</v>
      </c>
      <c r="BA111" s="1908" t="s">
        <v>1856</v>
      </c>
    </row>
    <row customHeight="1" ht="11.25">
      <c r="AZ112" s="1907" t="s">
        <v>1861</v>
      </c>
      <c r="BA112" s="1908" t="s">
        <v>1862</v>
      </c>
    </row>
    <row customHeight="1" ht="22.5">
      <c r="AZ113" s="1907" t="s">
        <v>1867</v>
      </c>
      <c r="BA113" s="190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7" t="s">
        <v>1872</v>
      </c>
      <c r="BA114"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3" t="s">
        <v>1895</v>
      </c>
    </row>
    <row customHeight="1" ht="22.5">
      <c r="AZ115" s="1907" t="s">
        <v>1877</v>
      </c>
      <c r="BA115"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4" t="s">
        <v>1260</v>
      </c>
    </row>
    <row customHeight="1" ht="11.25">
      <c r="AZ116" s="1907" t="s">
        <v>1879</v>
      </c>
      <c r="BA116" s="1908" t="s">
        <v>1880</v>
      </c>
      <c r="BH116" s="1074" t="s">
        <v>1287</v>
      </c>
    </row>
    <row customHeight="1" ht="11.25">
      <c r="BH117" s="1074" t="s">
        <v>1321</v>
      </c>
    </row>
    <row customHeight="1" ht="11.25">
      <c r="BH118" s="1074" t="s">
        <v>1353</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4EC62B-96CB-99EB-4ECE-C475EAF865F7}"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93.00390625" customWidth="1"/>
    <col min="8" max="8" style="461" width="8.00390625" customWidth="1"/>
    <col min="9" max="9" style="461" width="64.00390625" customWidth="1"/>
    <col min="10" max="10" style="461" width="9.140625" hidden="1"/>
  </cols>
  <sheetData>
    <row customHeight="1" ht="11.25" hidden="1">
      <c r="A1" s="507" t="s">
        <v>315</v>
      </c>
      <c r="J1" s="461" t="s">
        <v>14</v>
      </c>
    </row>
    <row customHeight="1" ht="22.5" hidden="1">
      <c r="A2" s="508"/>
      <c r="B2" s="508"/>
      <c r="C2" s="1736" t="s">
        <v>253</v>
      </c>
      <c r="D2" s="1526"/>
      <c r="E2" s="1532"/>
      <c r="F2" s="1555"/>
      <c r="H2" s="481"/>
      <c r="J2" s="461">
        <v>0</v>
      </c>
    </row>
    <row customHeight="1" ht="11.25" hidden="1">
      <c r="J3" s="461">
        <v>0</v>
      </c>
    </row>
    <row customHeight="1" ht="11.549999999999999">
      <c r="A4" s="1556"/>
      <c r="B4" s="1556"/>
      <c r="J4" s="461">
        <v>11</v>
      </c>
    </row>
    <row customHeight="1" ht="27.299999999999997">
      <c r="D5" s="224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5"/>
      <c r="F5" s="2246"/>
      <c r="I5" s="721"/>
      <c r="J5" s="461">
        <v>26</v>
      </c>
    </row>
    <row customHeight="1" ht="18">
      <c r="D6" s="2182" t="str">
        <f>IF(region_name=0,"Не определено",region_name)</f>
        <v>Республика Саха (Якутия)</v>
      </c>
      <c r="E6" s="2182"/>
      <c r="F6" s="2182"/>
      <c r="I6" s="721"/>
      <c r="J6" s="461">
        <v>17</v>
      </c>
    </row>
    <row s="483" customFormat="1" customHeight="1" ht="11.549999999999999">
      <c r="A7" s="507"/>
      <c r="B7" s="507"/>
      <c r="D7" s="720"/>
      <c r="E7" s="720"/>
      <c r="F7" s="758"/>
      <c r="G7" s="720"/>
      <c r="J7" s="483">
        <v>11</v>
      </c>
    </row>
    <row customHeight="1" ht="11.25" hidden="1">
      <c r="A8" s="508"/>
      <c r="B8" s="508"/>
      <c r="C8" s="463"/>
      <c r="D8" s="469"/>
      <c r="E8" s="2213"/>
      <c r="F8" s="2213"/>
      <c r="J8" s="461">
        <v>0</v>
      </c>
    </row>
    <row customHeight="1" ht="11.549999999999999">
      <c r="A9" s="508"/>
      <c r="B9" s="508"/>
      <c r="C9" s="463"/>
      <c r="D9" s="2210" t="s">
        <v>316</v>
      </c>
      <c r="E9" s="2211"/>
      <c r="F9" s="2211"/>
      <c r="G9" s="2214" t="s">
        <v>317</v>
      </c>
      <c r="J9" s="461">
        <v>11</v>
      </c>
    </row>
    <row customHeight="1" ht="11.549999999999999">
      <c r="A10" s="508"/>
      <c r="B10" s="508"/>
      <c r="C10" s="463"/>
      <c r="D10" s="1480" t="s">
        <v>89</v>
      </c>
      <c r="E10" s="1482" t="s">
        <v>318</v>
      </c>
      <c r="F10" s="1482" t="s">
        <v>319</v>
      </c>
      <c r="G10" s="2215"/>
      <c r="J10" s="461">
        <v>11</v>
      </c>
    </row>
    <row customHeight="1" ht="1.05">
      <c r="A11" s="508"/>
      <c r="B11" s="508"/>
      <c r="C11" s="463"/>
      <c r="D11" s="470"/>
      <c r="E11" s="470"/>
      <c r="F11" s="470"/>
      <c r="G11" s="470"/>
      <c r="J11" s="461">
        <v>1</v>
      </c>
    </row>
    <row customHeight="1" ht="24">
      <c r="A12" s="508"/>
      <c r="B12" s="508"/>
      <c r="C12" s="463"/>
      <c r="D12" s="1526">
        <v>1</v>
      </c>
      <c r="E12" s="48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4" t="str">
        <f>IF(org="","",org)</f>
        <v>АО «ДГК» СП «Нерюнгринская ГРЭС»</v>
      </c>
      <c r="G12" s="48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9"/>
      <c r="J12" s="461">
        <v>23</v>
      </c>
    </row>
    <row customHeight="1" ht="19.95">
      <c r="A13" s="508"/>
      <c r="B13" s="508"/>
      <c r="C13" s="463"/>
      <c r="D13" s="1526">
        <v>2</v>
      </c>
      <c r="E13" s="1533" t="s">
        <v>1896</v>
      </c>
      <c r="F13" s="1527" t="s">
        <v>322</v>
      </c>
      <c r="G13" s="480"/>
      <c r="H13" s="1539"/>
      <c r="J13" s="461">
        <v>19</v>
      </c>
    </row>
    <row customHeight="1" ht="19.95">
      <c r="A14" s="508"/>
      <c r="B14" s="508"/>
      <c r="C14" s="463"/>
      <c r="D14" s="1529" t="s">
        <v>745</v>
      </c>
      <c r="E14" s="1530" t="s">
        <v>1897</v>
      </c>
      <c r="F14" s="1532"/>
      <c r="G14" s="1531" t="s">
        <v>1898</v>
      </c>
      <c r="H14" s="1539"/>
      <c r="J14" s="461">
        <v>19</v>
      </c>
    </row>
    <row customHeight="1" ht="19.95">
      <c r="A15" s="508"/>
      <c r="B15" s="508"/>
      <c r="C15" s="463"/>
      <c r="D15" s="1529" t="s">
        <v>323</v>
      </c>
      <c r="E15" s="1530" t="s">
        <v>1899</v>
      </c>
      <c r="F15" s="1532"/>
      <c r="G15" s="1531" t="s">
        <v>1900</v>
      </c>
      <c r="H15" s="1539"/>
      <c r="J15" s="461">
        <v>19</v>
      </c>
    </row>
    <row customHeight="1" ht="24">
      <c r="A16" s="508"/>
      <c r="B16" s="508"/>
      <c r="C16" s="463"/>
      <c r="D16" s="1529" t="s">
        <v>326</v>
      </c>
      <c r="E16" s="1528" t="s">
        <v>1901</v>
      </c>
      <c r="F16" s="1537"/>
      <c r="G16" s="480" t="s">
        <v>1902</v>
      </c>
      <c r="H16" s="1539"/>
      <c r="J16" s="461">
        <v>23</v>
      </c>
    </row>
    <row customHeight="1" ht="48.29999999999999">
      <c r="A17" s="508"/>
      <c r="B17" s="508"/>
      <c r="C17" s="463"/>
      <c r="D17" s="1526">
        <v>3</v>
      </c>
      <c r="E17" s="1533" t="s">
        <v>1903</v>
      </c>
      <c r="F17" s="1532"/>
      <c r="G17" s="480" t="s">
        <v>1904</v>
      </c>
      <c r="H17" s="1539"/>
      <c r="J17" s="461">
        <v>46</v>
      </c>
    </row>
    <row customHeight="1" ht="48.29999999999999">
      <c r="A18" s="1481">
        <v>1</v>
      </c>
      <c r="B18" s="508"/>
      <c r="C18" s="1483"/>
      <c r="D18" s="1526" t="s">
        <v>92</v>
      </c>
      <c r="E18" s="1533" t="s">
        <v>1905</v>
      </c>
      <c r="F18" s="1532"/>
      <c r="G18" s="480" t="s">
        <v>1904</v>
      </c>
      <c r="H18" s="1539"/>
      <c r="I18" s="858"/>
      <c r="J18" s="461">
        <v>46</v>
      </c>
    </row>
    <row customHeight="1" ht="23.25">
      <c r="A19" s="508"/>
      <c r="B19" s="508"/>
      <c r="C19" s="463"/>
      <c r="D19" s="1526" t="s">
        <v>113</v>
      </c>
      <c r="E19" s="1533" t="s">
        <v>1906</v>
      </c>
      <c r="F19" s="1527" t="s">
        <v>322</v>
      </c>
      <c r="G19" s="2477" t="s">
        <v>1907</v>
      </c>
      <c r="H19" s="481"/>
      <c r="J19" s="461">
        <v>22</v>
      </c>
    </row>
    <row s="1536" customFormat="1" customHeight="1" ht="5.25" hidden="1">
      <c r="A20" s="508"/>
      <c r="B20" s="508"/>
      <c r="C20" s="1535"/>
      <c r="D20" s="1534" t="s">
        <v>1152</v>
      </c>
      <c r="E20" s="1020"/>
      <c r="F20" s="1019"/>
      <c r="G20" s="2478"/>
      <c r="J20" s="1536">
        <v>0</v>
      </c>
    </row>
    <row customHeight="1" ht="15.75">
      <c r="A21" s="508"/>
      <c r="B21" s="508"/>
      <c r="C21" s="463"/>
      <c r="D21" s="473"/>
      <c r="E21" s="421" t="s">
        <v>355</v>
      </c>
      <c r="F21" s="475"/>
      <c r="G21" s="2479"/>
      <c r="H21" s="1539"/>
      <c r="J21" s="461">
        <v>15</v>
      </c>
    </row>
    <row s="507" customFormat="1" customHeight="1" ht="26.25">
      <c r="A22" s="508"/>
      <c r="B22" s="508"/>
      <c r="C22" s="508"/>
      <c r="D22" s="1526" t="s">
        <v>93</v>
      </c>
      <c r="E22" s="480" t="s">
        <v>1908</v>
      </c>
      <c r="F22" s="1532"/>
      <c r="G22" s="480" t="s">
        <v>1909</v>
      </c>
      <c r="H22" s="1538"/>
      <c r="J22" s="507">
        <v>25</v>
      </c>
    </row>
    <row s="507" customFormat="1" customHeight="1" ht="19.95">
      <c r="A23" s="508"/>
      <c r="B23" s="508"/>
      <c r="C23" s="508"/>
      <c r="D23" s="1526" t="s">
        <v>94</v>
      </c>
      <c r="E23" s="1533" t="s">
        <v>1910</v>
      </c>
      <c r="F23" s="1537"/>
      <c r="G23" s="480" t="s">
        <v>1911</v>
      </c>
      <c r="H23" s="1538"/>
      <c r="J23" s="507">
        <v>19</v>
      </c>
    </row>
    <row s="507" customFormat="1" customHeight="1" ht="144" hidden="1">
      <c r="A24" s="508"/>
      <c r="B24" s="508"/>
      <c r="C24" s="508"/>
      <c r="D24" s="1526" t="s">
        <v>114</v>
      </c>
      <c r="E24" s="190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4"/>
      <c r="G24" s="190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8"/>
      <c r="J24" s="507">
        <v>0</v>
      </c>
    </row>
    <row customHeight="1" ht="11.25" hidden="1">
      <c r="A25" s="507" t="s">
        <v>83</v>
      </c>
      <c r="B25" s="507">
        <v>0</v>
      </c>
      <c r="C25" s="461">
        <v>3</v>
      </c>
      <c r="D25" s="462">
        <v>6</v>
      </c>
      <c r="E25" s="461">
        <v>52</v>
      </c>
      <c r="F25" s="461">
        <v>48</v>
      </c>
      <c r="G25" s="461">
        <v>93</v>
      </c>
      <c r="H25" s="461">
        <v>8</v>
      </c>
      <c r="I25" s="461">
        <v>64</v>
      </c>
      <c r="J25" s="461">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7A9C87-225C-6011-D36B-DAC4C158BC14}"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46.00390625" customWidth="1"/>
    <col min="7" max="8" style="1641" width="16.00390625" customWidth="1"/>
    <col min="9" max="9" style="1641" width="35.00390625" customWidth="1"/>
    <col min="10" max="10" style="1641" width="89.00390625" customWidth="1"/>
    <col min="11" max="11" style="1630" width="3.00390625" customWidth="1"/>
    <col min="12" max="14" style="1630" width="8.00390625" customWidth="1"/>
    <col min="15" max="15" style="1630" width="25.00390625" customWidth="1"/>
    <col min="16" max="16" style="1630" width="14.00390625" customWidth="1"/>
    <col min="17" max="20" style="231" width="8.00390625" customWidth="1"/>
    <col min="21" max="254" style="1641" width="8.00390625" customWidth="1"/>
    <col min="255" max="255" style="1641" width="9.140625" hidden="1"/>
  </cols>
  <sheetData>
    <row customHeight="1" ht="22.5" hidden="1">
      <c r="F1" s="1637" t="s">
        <v>1912</v>
      </c>
      <c r="G1" s="1637" t="s">
        <v>50</v>
      </c>
      <c r="H1" s="1637" t="s">
        <v>52</v>
      </c>
      <c r="IU1" s="1161" t="s">
        <v>14</v>
      </c>
    </row>
    <row s="1856" customFormat="1" customHeight="1" ht="22.5" hidden="1">
      <c r="A2" s="837"/>
      <c r="B2" s="1166">
        <v>1</v>
      </c>
      <c r="C2" s="1166"/>
      <c r="D2" s="1934" t="s">
        <v>253</v>
      </c>
      <c r="E2" s="1490"/>
      <c r="F2" s="1497"/>
      <c r="G2" s="1497"/>
      <c r="H2" s="1497"/>
      <c r="I2" s="1990"/>
      <c r="J2" s="1991"/>
      <c r="K2" s="1541"/>
      <c r="L2" s="517"/>
      <c r="M2" s="517"/>
      <c r="N2" s="506" t="str">
        <f t="array" ref="N2:N2">IF(ISERROR(MATCH(MID(O2,1,250),MID(note_ter,1,250),0)),"n","y")</f>
        <v>n</v>
      </c>
      <c r="O2" s="517"/>
      <c r="P2" s="506" t="str">
        <f>G2&amp;"("&amp;J2&amp;")"</f>
        <v>()</v>
      </c>
      <c r="Q2" s="1166"/>
      <c r="R2" s="1166"/>
      <c r="S2" s="426"/>
      <c r="T2" s="1166"/>
      <c r="U2" s="1166"/>
      <c r="V2" s="1166"/>
      <c r="W2" s="428"/>
      <c r="X2" s="428"/>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8"/>
      <c r="BU2" s="428"/>
      <c r="BV2" s="428"/>
      <c r="BW2" s="428"/>
      <c r="BX2" s="428"/>
      <c r="BY2" s="428"/>
      <c r="BZ2" s="428"/>
      <c r="CA2" s="428"/>
      <c r="CB2" s="428"/>
      <c r="CC2" s="428"/>
      <c r="IU2" s="429">
        <v>0</v>
      </c>
    </row>
    <row s="1648" customFormat="1" customHeight="1" ht="4.2">
      <c r="A3" s="502"/>
      <c r="D3" s="500"/>
      <c r="F3" s="253" t="s">
        <v>84</v>
      </c>
      <c r="G3" s="500" t="s">
        <v>85</v>
      </c>
      <c r="H3" s="500"/>
      <c r="I3" s="500"/>
      <c r="J3" s="233" t="s">
        <v>86</v>
      </c>
      <c r="K3" s="253" t="s">
        <v>84</v>
      </c>
      <c r="L3" s="253"/>
      <c r="M3" s="253"/>
      <c r="N3" s="253"/>
      <c r="O3" s="254"/>
      <c r="P3" s="253"/>
      <c r="Q3" s="253"/>
      <c r="R3" s="253"/>
      <c r="S3" s="253"/>
      <c r="T3" s="25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517">
        <v>4</v>
      </c>
    </row>
    <row s="1825" customFormat="1" customHeight="1" ht="14.699999999999998">
      <c r="A4" s="1161"/>
      <c r="B4" s="1166"/>
      <c r="C4" s="1161"/>
      <c r="D4" s="1501"/>
      <c r="E4" s="515"/>
      <c r="F4" s="1648"/>
      <c r="G4" s="515"/>
      <c r="H4" s="515"/>
      <c r="I4" s="515"/>
      <c r="J4" s="172"/>
      <c r="K4" s="253"/>
      <c r="L4" s="506"/>
      <c r="M4" s="506"/>
      <c r="N4" s="506"/>
      <c r="O4" s="232"/>
      <c r="P4" s="506"/>
      <c r="Q4" s="231"/>
      <c r="R4" s="231"/>
      <c r="S4" s="231"/>
      <c r="T4" s="231"/>
      <c r="IU4" s="513">
        <v>14</v>
      </c>
    </row>
    <row s="1825" customFormat="1" customHeight="1" ht="27.299999999999997">
      <c r="A5" s="1161"/>
      <c r="B5" s="1166"/>
      <c r="C5" s="1161"/>
      <c r="D5" s="1501"/>
      <c r="E5" s="21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6"/>
      <c r="G5" s="2106"/>
      <c r="H5" s="2106"/>
      <c r="I5" s="2106"/>
      <c r="J5" s="2106"/>
      <c r="K5" s="253"/>
      <c r="L5" s="506"/>
      <c r="M5" s="506"/>
      <c r="N5" s="506"/>
      <c r="O5" s="232"/>
      <c r="P5" s="506"/>
      <c r="Q5" s="231"/>
      <c r="R5" s="231"/>
      <c r="S5" s="231"/>
      <c r="T5" s="231"/>
      <c r="IU5" s="513">
        <v>26</v>
      </c>
    </row>
    <row s="1825" customFormat="1" customHeight="1" ht="14.699999999999998">
      <c r="A6" s="1161"/>
      <c r="B6" s="1166"/>
      <c r="C6" s="1161"/>
      <c r="D6" s="1501"/>
      <c r="E6" s="515"/>
      <c r="F6" s="173"/>
      <c r="G6" s="173"/>
      <c r="H6" s="173"/>
      <c r="I6" s="173"/>
      <c r="J6" s="174"/>
      <c r="K6" s="506"/>
      <c r="L6" s="506"/>
      <c r="M6" s="506"/>
      <c r="N6" s="506"/>
      <c r="O6" s="232"/>
      <c r="P6" s="506"/>
      <c r="Q6" s="231"/>
      <c r="R6" s="231"/>
      <c r="S6" s="231"/>
      <c r="T6" s="231"/>
      <c r="IU6" s="513">
        <v>14</v>
      </c>
    </row>
    <row s="1825" customFormat="1" customHeight="1" ht="14.699999999999998">
      <c r="A7" s="1161"/>
      <c r="B7" s="1166"/>
      <c r="C7" s="1161"/>
      <c r="D7" s="1501"/>
      <c r="E7" s="2107" t="s">
        <v>316</v>
      </c>
      <c r="F7" s="2108"/>
      <c r="G7" s="2108"/>
      <c r="H7" s="2108"/>
      <c r="I7" s="2108"/>
      <c r="J7" s="2480" t="s">
        <v>317</v>
      </c>
      <c r="K7" s="506"/>
      <c r="L7" s="506"/>
      <c r="M7" s="506"/>
      <c r="N7" s="506"/>
      <c r="O7" s="232"/>
      <c r="P7" s="506"/>
      <c r="Q7" s="231"/>
      <c r="R7" s="231"/>
      <c r="S7" s="231"/>
      <c r="T7" s="231"/>
      <c r="IU7" s="513">
        <v>14</v>
      </c>
    </row>
    <row s="1825" customFormat="1" customHeight="1" ht="21">
      <c r="A8" s="1161"/>
      <c r="B8" s="1166"/>
      <c r="C8" s="1161"/>
      <c r="D8" s="1501"/>
      <c r="E8" s="1554" t="s">
        <v>89</v>
      </c>
      <c r="F8" s="1546" t="s">
        <v>1912</v>
      </c>
      <c r="G8" s="1546" t="s">
        <v>50</v>
      </c>
      <c r="H8" s="1546" t="s">
        <v>52</v>
      </c>
      <c r="I8" s="1546" t="s">
        <v>1913</v>
      </c>
      <c r="J8" s="2481"/>
      <c r="K8" s="506"/>
      <c r="L8" s="506"/>
      <c r="M8" s="506"/>
      <c r="N8" s="506"/>
      <c r="O8" s="232"/>
      <c r="P8" s="506"/>
      <c r="Q8" s="231"/>
      <c r="R8" s="231"/>
      <c r="S8" s="231"/>
      <c r="T8" s="231"/>
      <c r="IU8" s="513">
        <v>20</v>
      </c>
    </row>
    <row s="1856" customFormat="1" customHeight="1" ht="23.25">
      <c r="A9" s="1637"/>
      <c r="B9" s="1166">
        <v>1</v>
      </c>
      <c r="C9" s="1166"/>
      <c r="D9" s="807"/>
      <c r="E9" s="1490">
        <v>1</v>
      </c>
      <c r="F9" s="1553"/>
      <c r="G9" s="1497"/>
      <c r="H9" s="1497"/>
      <c r="I9" s="1544"/>
      <c r="J9" s="217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1"/>
      <c r="L9" s="517"/>
      <c r="M9" s="517"/>
      <c r="N9" s="506" t="str">
        <f t="array" ref="N9:N9">IF(ISERROR(MATCH(MID(O9,1,250),MID(note_ter,1,250),0)),"n","y")</f>
        <v>n</v>
      </c>
      <c r="O9" s="517"/>
      <c r="P9" s="50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6"/>
      <c r="R9" s="1166"/>
      <c r="S9" s="426"/>
      <c r="T9" s="1166"/>
      <c r="U9" s="1166"/>
      <c r="V9" s="1166"/>
      <c r="W9" s="428"/>
      <c r="X9" s="428"/>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8"/>
      <c r="BU9" s="428"/>
      <c r="BV9" s="428"/>
      <c r="BW9" s="428"/>
      <c r="BX9" s="428"/>
      <c r="BY9" s="428"/>
      <c r="BZ9" s="428"/>
      <c r="CA9" s="428"/>
      <c r="CB9" s="428"/>
      <c r="CC9" s="428"/>
      <c r="IU9" s="429">
        <v>22</v>
      </c>
    </row>
    <row s="1856" customFormat="1" customHeight="1" ht="15.75">
      <c r="A10" s="1637"/>
      <c r="B10" s="1166"/>
      <c r="C10" s="418"/>
      <c r="D10" s="807"/>
      <c r="E10" s="1547"/>
      <c r="F10" s="1506" t="s">
        <v>1914</v>
      </c>
      <c r="G10" s="1548"/>
      <c r="H10" s="1548"/>
      <c r="I10" s="1905"/>
      <c r="J10" s="2177"/>
      <c r="K10" s="1542"/>
      <c r="L10" s="517"/>
      <c r="M10" s="517"/>
      <c r="N10" s="517"/>
      <c r="O10" s="506"/>
      <c r="P10" s="517"/>
      <c r="Q10" s="1166"/>
      <c r="R10" s="1166"/>
      <c r="S10" s="426"/>
      <c r="T10" s="1166"/>
      <c r="U10" s="1166"/>
      <c r="V10" s="1166"/>
      <c r="W10" s="428"/>
      <c r="X10" s="428"/>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8"/>
      <c r="BU10" s="428"/>
      <c r="BV10" s="428"/>
      <c r="BW10" s="428"/>
      <c r="BX10" s="428"/>
      <c r="BY10" s="428"/>
      <c r="BZ10" s="428"/>
      <c r="CA10" s="428"/>
      <c r="CB10" s="428"/>
      <c r="CC10" s="428"/>
      <c r="IU10" s="429">
        <v>15</v>
      </c>
    </row>
    <row s="1825" customFormat="1" customHeight="1" ht="22.049999999999997">
      <c r="A11" s="1161"/>
      <c r="B11" s="1166"/>
      <c r="C11" s="1161"/>
      <c r="D11" s="457"/>
      <c r="E11" s="186"/>
      <c r="F11" s="186"/>
      <c r="G11" s="186"/>
      <c r="H11" s="186"/>
      <c r="I11" s="186"/>
      <c r="J11" s="186"/>
      <c r="K11" s="506"/>
      <c r="L11" s="506"/>
      <c r="M11" s="506"/>
      <c r="N11" s="506"/>
      <c r="O11" s="232"/>
      <c r="P11" s="506"/>
      <c r="Q11" s="231"/>
      <c r="R11" s="231"/>
      <c r="S11" s="231"/>
      <c r="T11" s="231"/>
      <c r="IU11" s="513">
        <v>21</v>
      </c>
    </row>
    <row s="1825" customFormat="1" customHeight="1" ht="14.699999999999998">
      <c r="A12" s="1161"/>
      <c r="B12" s="1166"/>
      <c r="C12" s="1161"/>
      <c r="D12" s="457"/>
      <c r="E12" s="1161"/>
      <c r="F12" s="1161"/>
      <c r="G12" s="1161"/>
      <c r="H12" s="1161"/>
      <c r="I12" s="1161"/>
      <c r="J12" s="1161"/>
      <c r="K12" s="506"/>
      <c r="L12" s="506"/>
      <c r="M12" s="506"/>
      <c r="N12" s="506"/>
      <c r="O12" s="232"/>
      <c r="P12" s="506"/>
      <c r="Q12" s="231"/>
      <c r="R12" s="231"/>
      <c r="S12" s="231"/>
      <c r="T12" s="231"/>
      <c r="IU12" s="513">
        <v>14</v>
      </c>
    </row>
    <row s="1825" customFormat="1" customHeight="1" ht="1.05">
      <c r="A13" s="1161"/>
      <c r="B13" s="1166"/>
      <c r="C13" s="1161"/>
      <c r="D13" s="457"/>
      <c r="E13" s="1161"/>
      <c r="F13" s="1161"/>
      <c r="G13" s="1161"/>
      <c r="H13" s="1161"/>
      <c r="I13" s="1161"/>
      <c r="J13" s="1161"/>
      <c r="K13" s="506"/>
      <c r="L13" s="506"/>
      <c r="M13" s="506"/>
      <c r="N13" s="506"/>
      <c r="O13" s="232"/>
      <c r="P13" s="506"/>
      <c r="Q13" s="231"/>
      <c r="R13" s="231"/>
      <c r="S13" s="231"/>
      <c r="T13" s="231"/>
      <c r="IU13" s="513">
        <v>1</v>
      </c>
    </row>
    <row s="1070" customFormat="1" customHeight="1" ht="10.5">
      <c r="B14" s="840"/>
      <c r="D14" s="188"/>
      <c r="K14" s="506"/>
      <c r="L14" s="506"/>
      <c r="M14" s="506"/>
      <c r="N14" s="506"/>
      <c r="O14" s="232"/>
      <c r="P14" s="506"/>
      <c r="Q14" s="231"/>
      <c r="R14" s="231"/>
      <c r="S14" s="231"/>
      <c r="T14" s="231"/>
      <c r="IU14" s="187">
        <v>10</v>
      </c>
    </row>
    <row s="1070" customFormat="1" customHeight="1" ht="10.5">
      <c r="B15" s="840"/>
      <c r="D15" s="188"/>
      <c r="K15" s="506"/>
      <c r="L15" s="506"/>
      <c r="M15" s="506"/>
      <c r="N15" s="506"/>
      <c r="O15" s="232"/>
      <c r="P15" s="506"/>
      <c r="Q15" s="231"/>
      <c r="R15" s="231"/>
      <c r="S15" s="231"/>
      <c r="T15" s="231"/>
      <c r="IU15" s="187">
        <v>10</v>
      </c>
    </row>
    <row customHeight="1" ht="14.699999999999998">
      <c r="IU16" s="1161">
        <v>14</v>
      </c>
    </row>
    <row customHeight="1" ht="14.699999999999998">
      <c r="IU17" s="1161">
        <v>14</v>
      </c>
    </row>
    <row customHeight="1" ht="14.699999999999998">
      <c r="IU18" s="1161">
        <v>14</v>
      </c>
    </row>
    <row customHeight="1" ht="14.699999999999998">
      <c r="G19" s="379"/>
      <c r="H19" s="379"/>
      <c r="I19" s="379"/>
      <c r="IU19" s="1161">
        <v>14</v>
      </c>
    </row>
    <row customHeight="1" ht="14.699999999999998">
      <c r="IU20" s="1161">
        <v>14</v>
      </c>
    </row>
    <row customHeight="1" ht="14.699999999999998">
      <c r="IU21" s="1161">
        <v>14</v>
      </c>
    </row>
    <row customHeight="1" ht="14.699999999999998">
      <c r="IU22" s="1161">
        <v>14</v>
      </c>
    </row>
    <row customHeight="1" ht="14.699999999999998">
      <c r="K23" s="1161"/>
      <c r="L23" s="1161"/>
      <c r="M23" s="1161"/>
      <c r="IU23" s="1161">
        <v>14</v>
      </c>
    </row>
    <row customHeight="1" ht="22.5" hidden="1">
      <c r="A24" s="1161" t="s">
        <v>83</v>
      </c>
      <c r="B24" s="1166">
        <v>0</v>
      </c>
      <c r="C24" s="1161">
        <v>0</v>
      </c>
      <c r="D24" s="457">
        <v>3</v>
      </c>
      <c r="E24" s="1161">
        <v>6</v>
      </c>
      <c r="F24" s="1161">
        <v>46</v>
      </c>
      <c r="G24" s="1161">
        <v>16</v>
      </c>
      <c r="H24" s="1161">
        <v>16</v>
      </c>
      <c r="I24" s="1161">
        <v>35</v>
      </c>
      <c r="J24" s="1161">
        <v>89</v>
      </c>
      <c r="K24" s="506">
        <v>3</v>
      </c>
      <c r="L24" s="506">
        <v>8</v>
      </c>
      <c r="M24" s="506">
        <v>8</v>
      </c>
      <c r="N24" s="506">
        <v>8</v>
      </c>
      <c r="O24" s="232">
        <v>25</v>
      </c>
      <c r="P24" s="506">
        <v>14</v>
      </c>
      <c r="Q24" s="231">
        <v>8</v>
      </c>
      <c r="R24" s="231">
        <v>8</v>
      </c>
      <c r="S24" s="231">
        <v>8</v>
      </c>
      <c r="T24" s="231">
        <v>8</v>
      </c>
      <c r="U24" s="1161">
        <v>8</v>
      </c>
      <c r="V24" s="1161">
        <v>8</v>
      </c>
      <c r="W24" s="1161">
        <v>8</v>
      </c>
      <c r="X24" s="1161">
        <v>8</v>
      </c>
      <c r="Y24" s="1161">
        <v>8</v>
      </c>
      <c r="Z24" s="1161">
        <v>8</v>
      </c>
      <c r="AA24" s="1161">
        <v>8</v>
      </c>
      <c r="AB24" s="1161">
        <v>8</v>
      </c>
      <c r="AC24" s="1161">
        <v>8</v>
      </c>
      <c r="AD24" s="1161">
        <v>8</v>
      </c>
      <c r="AE24" s="1161">
        <v>8</v>
      </c>
      <c r="AF24" s="1161">
        <v>8</v>
      </c>
      <c r="AG24" s="1161">
        <v>8</v>
      </c>
      <c r="AH24" s="1161">
        <v>8</v>
      </c>
      <c r="AI24" s="1161">
        <v>8</v>
      </c>
      <c r="AJ24" s="1161">
        <v>8</v>
      </c>
      <c r="AK24" s="1161">
        <v>8</v>
      </c>
      <c r="AL24" s="1161">
        <v>8</v>
      </c>
      <c r="AM24" s="1161">
        <v>8</v>
      </c>
      <c r="AN24" s="1161">
        <v>8</v>
      </c>
      <c r="AO24" s="1161">
        <v>8</v>
      </c>
      <c r="AP24" s="1161">
        <v>8</v>
      </c>
      <c r="AQ24" s="1161">
        <v>8</v>
      </c>
      <c r="AR24" s="1161">
        <v>8</v>
      </c>
      <c r="AS24" s="1161">
        <v>8</v>
      </c>
      <c r="AT24" s="1161">
        <v>8</v>
      </c>
      <c r="AU24" s="1161">
        <v>8</v>
      </c>
      <c r="AV24" s="1161">
        <v>8</v>
      </c>
      <c r="AW24" s="1161">
        <v>8</v>
      </c>
      <c r="AX24" s="1161">
        <v>8</v>
      </c>
      <c r="AY24" s="1161">
        <v>8</v>
      </c>
      <c r="AZ24" s="1161">
        <v>8</v>
      </c>
      <c r="BA24" s="1161">
        <v>8</v>
      </c>
      <c r="BB24" s="1161">
        <v>8</v>
      </c>
      <c r="BC24" s="1161">
        <v>8</v>
      </c>
      <c r="BD24" s="1161">
        <v>8</v>
      </c>
      <c r="BE24" s="1161">
        <v>8</v>
      </c>
      <c r="BF24" s="1161">
        <v>8</v>
      </c>
      <c r="BG24" s="1161">
        <v>8</v>
      </c>
      <c r="BH24" s="1161">
        <v>8</v>
      </c>
      <c r="BI24" s="1161">
        <v>8</v>
      </c>
      <c r="BJ24" s="1161">
        <v>8</v>
      </c>
      <c r="BK24" s="1161">
        <v>8</v>
      </c>
      <c r="BL24" s="1161">
        <v>8</v>
      </c>
      <c r="BM24" s="1161">
        <v>8</v>
      </c>
      <c r="BN24" s="1161">
        <v>8</v>
      </c>
      <c r="BO24" s="1161">
        <v>8</v>
      </c>
      <c r="BP24" s="1161">
        <v>8</v>
      </c>
      <c r="BQ24" s="1161">
        <v>8</v>
      </c>
      <c r="BR24" s="1161">
        <v>8</v>
      </c>
      <c r="BS24" s="1161">
        <v>8</v>
      </c>
      <c r="BT24" s="1161">
        <v>8</v>
      </c>
      <c r="BU24" s="1161">
        <v>8</v>
      </c>
      <c r="BV24" s="1161">
        <v>8</v>
      </c>
      <c r="BW24" s="1161">
        <v>8</v>
      </c>
      <c r="BX24" s="1161">
        <v>8</v>
      </c>
      <c r="BY24" s="1161">
        <v>8</v>
      </c>
      <c r="BZ24" s="1161">
        <v>8</v>
      </c>
      <c r="CA24" s="1161">
        <v>8</v>
      </c>
      <c r="CB24" s="1161">
        <v>8</v>
      </c>
      <c r="CC24" s="1161">
        <v>8</v>
      </c>
      <c r="CD24" s="1161">
        <v>8</v>
      </c>
      <c r="CE24" s="1161">
        <v>8</v>
      </c>
      <c r="CF24" s="1161">
        <v>8</v>
      </c>
      <c r="CG24" s="1161">
        <v>8</v>
      </c>
      <c r="CH24" s="1161">
        <v>8</v>
      </c>
      <c r="CI24" s="1161">
        <v>8</v>
      </c>
      <c r="CJ24" s="1161">
        <v>8</v>
      </c>
      <c r="CK24" s="1161">
        <v>8</v>
      </c>
      <c r="CL24" s="1161">
        <v>8</v>
      </c>
      <c r="CM24" s="1161">
        <v>8</v>
      </c>
      <c r="CN24" s="1161">
        <v>8</v>
      </c>
      <c r="CO24" s="1161">
        <v>8</v>
      </c>
      <c r="CP24" s="1161">
        <v>8</v>
      </c>
      <c r="CQ24" s="1161">
        <v>8</v>
      </c>
      <c r="CR24" s="1161">
        <v>8</v>
      </c>
      <c r="CS24" s="1161">
        <v>8</v>
      </c>
      <c r="CT24" s="1161">
        <v>8</v>
      </c>
      <c r="CU24" s="1161">
        <v>8</v>
      </c>
      <c r="CV24" s="1161">
        <v>8</v>
      </c>
      <c r="CW24" s="1161">
        <v>8</v>
      </c>
      <c r="CX24" s="1161">
        <v>8</v>
      </c>
      <c r="CY24" s="1161">
        <v>8</v>
      </c>
      <c r="CZ24" s="1161">
        <v>8</v>
      </c>
      <c r="DA24" s="1161">
        <v>8</v>
      </c>
      <c r="DB24" s="1161">
        <v>8</v>
      </c>
      <c r="DC24" s="1161">
        <v>8</v>
      </c>
      <c r="DD24" s="1161">
        <v>8</v>
      </c>
      <c r="DE24" s="1161">
        <v>8</v>
      </c>
      <c r="DF24" s="1161">
        <v>8</v>
      </c>
      <c r="DG24" s="1161">
        <v>8</v>
      </c>
      <c r="DH24" s="1161">
        <v>8</v>
      </c>
      <c r="DI24" s="1161">
        <v>8</v>
      </c>
      <c r="DJ24" s="1161">
        <v>8</v>
      </c>
      <c r="DK24" s="1161">
        <v>8</v>
      </c>
      <c r="DL24" s="1161">
        <v>8</v>
      </c>
      <c r="DM24" s="1161">
        <v>8</v>
      </c>
      <c r="DN24" s="1161">
        <v>8</v>
      </c>
      <c r="DO24" s="1161">
        <v>8</v>
      </c>
      <c r="DP24" s="1161">
        <v>8</v>
      </c>
      <c r="DQ24" s="1161">
        <v>8</v>
      </c>
      <c r="DR24" s="1161">
        <v>8</v>
      </c>
      <c r="DS24" s="1161">
        <v>8</v>
      </c>
      <c r="DT24" s="1161">
        <v>8</v>
      </c>
      <c r="DU24" s="1161">
        <v>8</v>
      </c>
      <c r="DV24" s="1161">
        <v>8</v>
      </c>
      <c r="DW24" s="1161">
        <v>8</v>
      </c>
      <c r="DX24" s="1161">
        <v>8</v>
      </c>
      <c r="DY24" s="1161">
        <v>8</v>
      </c>
      <c r="DZ24" s="1161">
        <v>8</v>
      </c>
      <c r="EA24" s="1161">
        <v>8</v>
      </c>
      <c r="EB24" s="1161">
        <v>8</v>
      </c>
      <c r="EC24" s="1161">
        <v>8</v>
      </c>
      <c r="ED24" s="1161">
        <v>8</v>
      </c>
      <c r="EE24" s="1161">
        <v>8</v>
      </c>
      <c r="EF24" s="1161">
        <v>8</v>
      </c>
      <c r="EG24" s="1161">
        <v>8</v>
      </c>
      <c r="EH24" s="1161">
        <v>8</v>
      </c>
      <c r="EI24" s="1161">
        <v>8</v>
      </c>
      <c r="EJ24" s="1161">
        <v>8</v>
      </c>
      <c r="EK24" s="1161">
        <v>8</v>
      </c>
      <c r="EL24" s="1161">
        <v>8</v>
      </c>
      <c r="EM24" s="1161">
        <v>8</v>
      </c>
      <c r="EN24" s="1161">
        <v>8</v>
      </c>
      <c r="EO24" s="1161">
        <v>8</v>
      </c>
      <c r="EP24" s="1161">
        <v>8</v>
      </c>
      <c r="EQ24" s="1161">
        <v>8</v>
      </c>
      <c r="ER24" s="1161">
        <v>8</v>
      </c>
      <c r="ES24" s="1161">
        <v>8</v>
      </c>
      <c r="ET24" s="1161">
        <v>8</v>
      </c>
      <c r="EU24" s="1161">
        <v>8</v>
      </c>
      <c r="EV24" s="1161">
        <v>8</v>
      </c>
      <c r="EW24" s="1161">
        <v>8</v>
      </c>
      <c r="EX24" s="1161">
        <v>8</v>
      </c>
      <c r="EY24" s="1161">
        <v>8</v>
      </c>
      <c r="EZ24" s="1161">
        <v>8</v>
      </c>
      <c r="FA24" s="1161">
        <v>8</v>
      </c>
      <c r="FB24" s="1161">
        <v>8</v>
      </c>
      <c r="FC24" s="1161">
        <v>8</v>
      </c>
      <c r="FD24" s="1161">
        <v>8</v>
      </c>
      <c r="FE24" s="1161">
        <v>8</v>
      </c>
      <c r="FF24" s="1161">
        <v>8</v>
      </c>
      <c r="FG24" s="1161">
        <v>8</v>
      </c>
      <c r="FH24" s="1161">
        <v>8</v>
      </c>
      <c r="FI24" s="1161">
        <v>8</v>
      </c>
      <c r="FJ24" s="1161">
        <v>8</v>
      </c>
      <c r="FK24" s="1161">
        <v>8</v>
      </c>
      <c r="FL24" s="1161">
        <v>8</v>
      </c>
      <c r="FM24" s="1161">
        <v>8</v>
      </c>
      <c r="FN24" s="1161">
        <v>8</v>
      </c>
      <c r="FO24" s="1161">
        <v>8</v>
      </c>
      <c r="FP24" s="1161">
        <v>8</v>
      </c>
      <c r="FQ24" s="1161">
        <v>8</v>
      </c>
      <c r="FR24" s="1161">
        <v>8</v>
      </c>
      <c r="FS24" s="1161">
        <v>8</v>
      </c>
      <c r="FT24" s="1161">
        <v>8</v>
      </c>
      <c r="FU24" s="1161">
        <v>8</v>
      </c>
      <c r="FV24" s="1161">
        <v>8</v>
      </c>
      <c r="FW24" s="1161">
        <v>8</v>
      </c>
      <c r="FX24" s="1161">
        <v>8</v>
      </c>
      <c r="FY24" s="1161">
        <v>8</v>
      </c>
      <c r="FZ24" s="1161">
        <v>8</v>
      </c>
      <c r="GA24" s="1161">
        <v>8</v>
      </c>
      <c r="GB24" s="1161">
        <v>8</v>
      </c>
      <c r="GC24" s="1161">
        <v>8</v>
      </c>
      <c r="GD24" s="1161">
        <v>8</v>
      </c>
      <c r="GE24" s="1161">
        <v>8</v>
      </c>
      <c r="GF24" s="1161">
        <v>8</v>
      </c>
      <c r="GG24" s="1161">
        <v>8</v>
      </c>
      <c r="GH24" s="1161">
        <v>8</v>
      </c>
      <c r="GI24" s="1161">
        <v>8</v>
      </c>
      <c r="GJ24" s="1161">
        <v>8</v>
      </c>
      <c r="GK24" s="1161">
        <v>8</v>
      </c>
      <c r="GL24" s="1161">
        <v>8</v>
      </c>
      <c r="GM24" s="1161">
        <v>8</v>
      </c>
      <c r="GN24" s="1161">
        <v>8</v>
      </c>
      <c r="GO24" s="1161">
        <v>8</v>
      </c>
      <c r="GP24" s="1161">
        <v>8</v>
      </c>
      <c r="GQ24" s="1161">
        <v>8</v>
      </c>
      <c r="GR24" s="1161">
        <v>8</v>
      </c>
      <c r="GS24" s="1161">
        <v>8</v>
      </c>
      <c r="GT24" s="1161">
        <v>8</v>
      </c>
      <c r="GU24" s="1161">
        <v>8</v>
      </c>
      <c r="GV24" s="1161">
        <v>8</v>
      </c>
      <c r="GW24" s="1161">
        <v>8</v>
      </c>
      <c r="GX24" s="1161">
        <v>8</v>
      </c>
      <c r="GY24" s="1161">
        <v>8</v>
      </c>
      <c r="GZ24" s="1161">
        <v>8</v>
      </c>
      <c r="HA24" s="1161">
        <v>8</v>
      </c>
      <c r="HB24" s="1161">
        <v>8</v>
      </c>
      <c r="HC24" s="1161">
        <v>8</v>
      </c>
      <c r="HD24" s="1161">
        <v>8</v>
      </c>
      <c r="HE24" s="1161">
        <v>8</v>
      </c>
      <c r="HF24" s="1161">
        <v>8</v>
      </c>
      <c r="HG24" s="1161">
        <v>8</v>
      </c>
      <c r="HH24" s="1161">
        <v>8</v>
      </c>
      <c r="HI24" s="1161">
        <v>8</v>
      </c>
      <c r="HJ24" s="1161">
        <v>8</v>
      </c>
      <c r="HK24" s="1161">
        <v>8</v>
      </c>
      <c r="HL24" s="1161">
        <v>8</v>
      </c>
      <c r="HM24" s="1161">
        <v>8</v>
      </c>
      <c r="HN24" s="1161">
        <v>8</v>
      </c>
      <c r="HO24" s="1161">
        <v>8</v>
      </c>
      <c r="HP24" s="1161">
        <v>8</v>
      </c>
      <c r="HQ24" s="1161">
        <v>8</v>
      </c>
      <c r="HR24" s="1161">
        <v>8</v>
      </c>
      <c r="HS24" s="1161">
        <v>8</v>
      </c>
      <c r="HT24" s="1161">
        <v>8</v>
      </c>
      <c r="HU24" s="1161">
        <v>8</v>
      </c>
      <c r="HV24" s="1161">
        <v>8</v>
      </c>
      <c r="HW24" s="1161">
        <v>8</v>
      </c>
      <c r="HX24" s="1161">
        <v>8</v>
      </c>
      <c r="HY24" s="1161">
        <v>8</v>
      </c>
      <c r="HZ24" s="1161">
        <v>8</v>
      </c>
      <c r="IA24" s="1161">
        <v>8</v>
      </c>
      <c r="IB24" s="1161">
        <v>8</v>
      </c>
      <c r="IC24" s="1161">
        <v>8</v>
      </c>
      <c r="ID24" s="1161">
        <v>8</v>
      </c>
      <c r="IE24" s="1161">
        <v>8</v>
      </c>
      <c r="IF24" s="1161">
        <v>8</v>
      </c>
      <c r="IG24" s="1161">
        <v>8</v>
      </c>
      <c r="IH24" s="1161">
        <v>8</v>
      </c>
      <c r="II24" s="1161">
        <v>8</v>
      </c>
      <c r="IJ24" s="1161">
        <v>8</v>
      </c>
      <c r="IK24" s="1161">
        <v>8</v>
      </c>
      <c r="IL24" s="1161">
        <v>8</v>
      </c>
      <c r="IM24" s="1161">
        <v>8</v>
      </c>
      <c r="IN24" s="1161">
        <v>8</v>
      </c>
      <c r="IO24" s="1161">
        <v>8</v>
      </c>
      <c r="IP24" s="1161">
        <v>8</v>
      </c>
      <c r="IQ24" s="1161">
        <v>8</v>
      </c>
      <c r="IR24" s="1161">
        <v>8</v>
      </c>
      <c r="IS24" s="1161">
        <v>8</v>
      </c>
      <c r="IT24" s="1161">
        <v>8</v>
      </c>
      <c r="IU24" s="1161">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98E94D-76B4-314C-8E4B-B050A9AB38EE}"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161" t="s">
        <v>14</v>
      </c>
    </row>
    <row s="1856" customFormat="1" customHeight="1" ht="22.5" hidden="1">
      <c r="A2" s="837"/>
      <c r="B2" s="1166">
        <v>1</v>
      </c>
      <c r="C2" s="1166"/>
      <c r="D2" s="1934" t="s">
        <v>253</v>
      </c>
      <c r="E2" s="1895"/>
      <c r="F2" s="1898" t="str">
        <f>IF(ROIV_INFO_NAME="","",ROIV_INFO_NAME)</f>
        <v>АО «ДГК» СП «Нерюнгринская ГРЭС»</v>
      </c>
      <c r="G2" s="1923" t="s">
        <v>28</v>
      </c>
      <c r="H2" s="1922"/>
      <c r="I2" s="1544"/>
      <c r="J2" s="824"/>
      <c r="K2" s="824"/>
      <c r="L2" s="234"/>
      <c r="M2" s="1541">
        <f>MERGEVALUE(F2)</f>
      </c>
      <c r="N2" s="517"/>
      <c r="O2" s="517"/>
      <c r="P2" s="506" t="str">
        <f t="array" ref="P2:P2">IF(ISERROR(MATCH(MID(Q2,1,250),MID(note_ter,1,250),0)),"n","y")</f>
        <v>n</v>
      </c>
      <c r="Q2" s="517"/>
      <c r="R2" s="506" t="str">
        <f>G2&amp;"("&amp;L2&amp;")"</f>
        <v>()</v>
      </c>
      <c r="S2" s="1166"/>
      <c r="T2" s="1166"/>
      <c r="U2" s="426"/>
      <c r="V2" s="1166"/>
      <c r="W2" s="1166"/>
      <c r="X2" s="1166"/>
      <c r="Y2" s="428"/>
      <c r="Z2" s="428"/>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8"/>
      <c r="BW2" s="428"/>
      <c r="BX2" s="428"/>
      <c r="BY2" s="428"/>
      <c r="BZ2" s="428"/>
      <c r="CA2" s="428"/>
      <c r="CB2" s="428"/>
      <c r="CC2" s="428"/>
      <c r="CD2" s="428"/>
      <c r="CE2" s="428"/>
      <c r="IW2" s="429">
        <v>0</v>
      </c>
    </row>
    <row s="1648" customFormat="1" customHeight="1" ht="5.25" hidden="1">
      <c r="A3" s="502"/>
      <c r="D3" s="500"/>
      <c r="F3" s="253" t="s">
        <v>84</v>
      </c>
      <c r="G3" s="1741" t="s">
        <v>85</v>
      </c>
      <c r="H3" s="500"/>
      <c r="I3" s="500"/>
      <c r="J3" s="500"/>
      <c r="K3" s="500"/>
      <c r="L3" s="233" t="s">
        <v>86</v>
      </c>
      <c r="M3" s="253" t="s">
        <v>84</v>
      </c>
      <c r="N3" s="253"/>
      <c r="O3" s="253"/>
      <c r="P3" s="253"/>
      <c r="Q3" s="254"/>
      <c r="R3" s="253"/>
      <c r="S3" s="253"/>
      <c r="T3" s="253"/>
      <c r="U3" s="253"/>
      <c r="V3" s="25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517">
        <v>0</v>
      </c>
    </row>
    <row s="1825" customFormat="1" customHeight="1" ht="14.699999999999998">
      <c r="A4" s="1161"/>
      <c r="B4" s="1166"/>
      <c r="C4" s="1161"/>
      <c r="D4" s="1501"/>
      <c r="E4" s="515"/>
      <c r="F4" s="515"/>
      <c r="G4" s="515"/>
      <c r="H4" s="515"/>
      <c r="I4" s="515"/>
      <c r="J4" s="515"/>
      <c r="K4" s="515"/>
      <c r="L4" s="172"/>
      <c r="M4" s="253"/>
      <c r="N4" s="506"/>
      <c r="O4" s="506"/>
      <c r="P4" s="506"/>
      <c r="Q4" s="232"/>
      <c r="R4" s="506"/>
      <c r="S4" s="231"/>
      <c r="T4" s="231"/>
      <c r="U4" s="231"/>
      <c r="V4" s="231"/>
      <c r="IW4" s="513">
        <v>14</v>
      </c>
    </row>
    <row s="1825" customFormat="1" customHeight="1" ht="27.299999999999997">
      <c r="A5" s="1161"/>
      <c r="B5" s="1166"/>
      <c r="C5" s="1161"/>
      <c r="D5" s="1501"/>
      <c r="E5" s="21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6"/>
      <c r="G5" s="2106"/>
      <c r="H5" s="2106"/>
      <c r="I5" s="2106"/>
      <c r="J5" s="2106"/>
      <c r="K5" s="2106"/>
      <c r="L5" s="594"/>
      <c r="M5" s="253"/>
      <c r="N5" s="506"/>
      <c r="O5" s="506"/>
      <c r="P5" s="506"/>
      <c r="Q5" s="232"/>
      <c r="R5" s="506"/>
      <c r="S5" s="231"/>
      <c r="T5" s="231"/>
      <c r="U5" s="231"/>
      <c r="V5" s="231"/>
      <c r="IW5" s="513">
        <v>26</v>
      </c>
    </row>
    <row s="1825" customFormat="1" customHeight="1" ht="14.699999999999998">
      <c r="A6" s="1161"/>
      <c r="B6" s="1166"/>
      <c r="C6" s="1161"/>
      <c r="D6" s="1501"/>
      <c r="E6" s="515"/>
      <c r="F6" s="173"/>
      <c r="G6" s="173"/>
      <c r="H6" s="173"/>
      <c r="I6" s="173"/>
      <c r="J6" s="173"/>
      <c r="K6" s="173"/>
      <c r="L6" s="174"/>
      <c r="M6" s="506"/>
      <c r="N6" s="506"/>
      <c r="O6" s="506"/>
      <c r="P6" s="506"/>
      <c r="Q6" s="232"/>
      <c r="R6" s="506"/>
      <c r="S6" s="231"/>
      <c r="T6" s="231"/>
      <c r="U6" s="231"/>
      <c r="V6" s="231"/>
      <c r="IW6" s="513">
        <v>14</v>
      </c>
    </row>
    <row s="1825" customFormat="1" customHeight="1" ht="14.699999999999998">
      <c r="A7" s="1161"/>
      <c r="B7" s="1166"/>
      <c r="C7" s="1161"/>
      <c r="D7" s="1501"/>
      <c r="E7" s="2107" t="s">
        <v>316</v>
      </c>
      <c r="F7" s="2108"/>
      <c r="G7" s="2108"/>
      <c r="H7" s="2108"/>
      <c r="I7" s="2108"/>
      <c r="J7" s="2108"/>
      <c r="K7" s="2108"/>
      <c r="L7" s="2480" t="s">
        <v>317</v>
      </c>
      <c r="M7" s="506"/>
      <c r="N7" s="506"/>
      <c r="O7" s="506"/>
      <c r="P7" s="506"/>
      <c r="Q7" s="232"/>
      <c r="R7" s="506"/>
      <c r="S7" s="231"/>
      <c r="T7" s="231"/>
      <c r="U7" s="231"/>
      <c r="V7" s="231"/>
      <c r="IW7" s="513">
        <v>14</v>
      </c>
    </row>
    <row s="1825" customFormat="1" customHeight="1" ht="67.2">
      <c r="A8" s="1161"/>
      <c r="B8" s="1166"/>
      <c r="C8" s="1161"/>
      <c r="D8" s="1501"/>
      <c r="E8" s="2484" t="s">
        <v>89</v>
      </c>
      <c r="F8" s="24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7"/>
      <c r="I8" s="2488"/>
      <c r="J8" s="24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2"/>
      <c r="M8" s="506"/>
      <c r="N8" s="506"/>
      <c r="O8" s="506"/>
      <c r="P8" s="506"/>
      <c r="Q8" s="232"/>
      <c r="R8" s="506"/>
      <c r="S8" s="231"/>
      <c r="T8" s="231"/>
      <c r="U8" s="231"/>
      <c r="V8" s="231"/>
      <c r="IW8" s="513">
        <v>64</v>
      </c>
    </row>
    <row s="1825" customFormat="1" customHeight="1" ht="29.25">
      <c r="A9" s="1161"/>
      <c r="B9" s="1166"/>
      <c r="C9" s="1161"/>
      <c r="D9" s="1501"/>
      <c r="E9" s="2485"/>
      <c r="F9" s="2485"/>
      <c r="G9" s="1543" t="s">
        <v>1915</v>
      </c>
      <c r="H9" s="1543" t="s">
        <v>1916</v>
      </c>
      <c r="I9" s="1543" t="s">
        <v>1917</v>
      </c>
      <c r="J9" s="2485"/>
      <c r="K9" s="2485"/>
      <c r="L9" s="2481"/>
      <c r="M9" s="506"/>
      <c r="N9" s="506"/>
      <c r="O9" s="506"/>
      <c r="P9" s="506"/>
      <c r="Q9" s="232"/>
      <c r="R9" s="506"/>
      <c r="S9" s="231"/>
      <c r="T9" s="231"/>
      <c r="U9" s="231"/>
      <c r="V9" s="231"/>
      <c r="IW9" s="513">
        <v>28</v>
      </c>
    </row>
    <row s="1856" customFormat="1" customHeight="1" ht="23.25">
      <c r="A10" s="2105"/>
      <c r="B10" s="1166">
        <v>1</v>
      </c>
      <c r="C10" s="1166"/>
      <c r="D10" s="806"/>
      <c r="E10" s="804">
        <v>1</v>
      </c>
      <c r="F10" s="1545" t="str">
        <f>IF(ROIV_INFO_NAME="","",ROIV_INFO_NAME)</f>
        <v>АО «ДГК» СП «Нерюнгринская ГРЭС»</v>
      </c>
      <c r="G10" s="1738" t="s">
        <v>28</v>
      </c>
      <c r="H10" s="1922"/>
      <c r="I10" s="1540"/>
      <c r="J10" s="824"/>
      <c r="K10" s="824"/>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517"/>
      <c r="O10" s="517"/>
      <c r="P10" s="506" t="str">
        <f t="array" ref="P10:P10">IF(ISERROR(MATCH(MID(Q10,1,250),MID(note_ter,1,250),0)),"n","y")</f>
        <v>n</v>
      </c>
      <c r="Q10" s="517"/>
      <c r="R10" s="50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6"/>
      <c r="T10" s="1166"/>
      <c r="U10" s="426"/>
      <c r="V10" s="1166"/>
      <c r="W10" s="1166"/>
      <c r="X10" s="1166"/>
      <c r="Y10" s="428"/>
      <c r="Z10" s="428"/>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8"/>
      <c r="BW10" s="428"/>
      <c r="BX10" s="428"/>
      <c r="BY10" s="428"/>
      <c r="BZ10" s="428"/>
      <c r="CA10" s="428"/>
      <c r="CB10" s="428"/>
      <c r="CC10" s="428"/>
      <c r="CD10" s="428"/>
      <c r="CE10" s="428"/>
      <c r="IW10" s="429">
        <v>22</v>
      </c>
    </row>
    <row s="1856" customFormat="1" customHeight="1" ht="15.75">
      <c r="A11" s="2105"/>
      <c r="B11" s="1166"/>
      <c r="C11" s="418"/>
      <c r="D11" s="807"/>
      <c r="E11" s="427"/>
      <c r="F11" s="422" t="s">
        <v>1918</v>
      </c>
      <c r="G11" s="193"/>
      <c r="H11" s="193"/>
      <c r="I11" s="193"/>
      <c r="J11" s="193"/>
      <c r="K11" s="430"/>
      <c r="L11" s="2483"/>
      <c r="M11" s="1542"/>
      <c r="N11" s="517"/>
      <c r="O11" s="517"/>
      <c r="P11" s="517"/>
      <c r="Q11" s="506"/>
      <c r="R11" s="517"/>
      <c r="S11" s="1166"/>
      <c r="T11" s="1166"/>
      <c r="U11" s="426"/>
      <c r="V11" s="1166"/>
      <c r="W11" s="1166"/>
      <c r="X11" s="1166"/>
      <c r="Y11" s="428"/>
      <c r="Z11" s="428"/>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8"/>
      <c r="BW11" s="428"/>
      <c r="BX11" s="428"/>
      <c r="BY11" s="428"/>
      <c r="BZ11" s="428"/>
      <c r="CA11" s="428"/>
      <c r="CB11" s="428"/>
      <c r="CC11" s="428"/>
      <c r="CD11" s="428"/>
      <c r="CE11" s="428"/>
      <c r="IW11" s="429">
        <v>15</v>
      </c>
    </row>
    <row s="1825" customFormat="1" customHeight="1" ht="22.049999999999997">
      <c r="A12" s="1161"/>
      <c r="B12" s="1166"/>
      <c r="C12" s="1161"/>
      <c r="D12" s="457"/>
      <c r="E12" s="186"/>
      <c r="F12" s="186"/>
      <c r="G12" s="186"/>
      <c r="H12" s="186"/>
      <c r="I12" s="186"/>
      <c r="J12" s="186"/>
      <c r="K12" s="186"/>
      <c r="L12" s="186"/>
      <c r="M12" s="506"/>
      <c r="N12" s="506"/>
      <c r="O12" s="506"/>
      <c r="P12" s="506"/>
      <c r="Q12" s="232"/>
      <c r="R12" s="506"/>
      <c r="S12" s="231"/>
      <c r="T12" s="231"/>
      <c r="U12" s="231"/>
      <c r="V12" s="231"/>
      <c r="IW12" s="513">
        <v>21</v>
      </c>
    </row>
    <row s="1825" customFormat="1" customHeight="1" ht="14.699999999999998">
      <c r="A13" s="1161"/>
      <c r="B13" s="1166"/>
      <c r="C13" s="1161"/>
      <c r="D13" s="457"/>
      <c r="E13" s="1161"/>
      <c r="F13" s="1161"/>
      <c r="G13" s="1161"/>
      <c r="H13" s="1161"/>
      <c r="I13" s="1161"/>
      <c r="J13" s="1161"/>
      <c r="K13" s="1161"/>
      <c r="L13" s="1161"/>
      <c r="M13" s="506"/>
      <c r="N13" s="506"/>
      <c r="O13" s="506"/>
      <c r="P13" s="506"/>
      <c r="Q13" s="232"/>
      <c r="R13" s="506"/>
      <c r="S13" s="231"/>
      <c r="T13" s="231"/>
      <c r="U13" s="231"/>
      <c r="V13" s="231"/>
      <c r="IW13" s="513">
        <v>14</v>
      </c>
    </row>
    <row s="1825" customFormat="1" customHeight="1" ht="1.05">
      <c r="A14" s="1161"/>
      <c r="B14" s="1166"/>
      <c r="C14" s="1161"/>
      <c r="D14" s="457"/>
      <c r="E14" s="1161"/>
      <c r="F14" s="1161"/>
      <c r="G14" s="1161"/>
      <c r="H14" s="1161"/>
      <c r="I14" s="1161"/>
      <c r="J14" s="1161"/>
      <c r="K14" s="1161"/>
      <c r="L14" s="1161"/>
      <c r="M14" s="506"/>
      <c r="N14" s="506"/>
      <c r="O14" s="506"/>
      <c r="P14" s="506"/>
      <c r="Q14" s="232"/>
      <c r="R14" s="506"/>
      <c r="S14" s="231"/>
      <c r="T14" s="231"/>
      <c r="U14" s="231"/>
      <c r="V14" s="231"/>
      <c r="IW14" s="513">
        <v>1</v>
      </c>
    </row>
    <row customHeight="1" ht="22.5" hidden="1">
      <c r="A15" s="1161" t="s">
        <v>83</v>
      </c>
      <c r="B15" s="1166">
        <v>0</v>
      </c>
      <c r="C15" s="1161">
        <v>0</v>
      </c>
      <c r="D15" s="457">
        <v>3</v>
      </c>
      <c r="E15" s="1161">
        <v>6</v>
      </c>
      <c r="F15" s="1161">
        <v>27</v>
      </c>
      <c r="G15" s="1161">
        <v>16</v>
      </c>
      <c r="H15" s="1161">
        <v>12</v>
      </c>
      <c r="I15" s="1161">
        <v>32</v>
      </c>
      <c r="J15" s="1161">
        <v>41</v>
      </c>
      <c r="K15" s="1161">
        <v>41</v>
      </c>
      <c r="L15" s="1161">
        <v>89</v>
      </c>
      <c r="M15" s="506">
        <v>3</v>
      </c>
      <c r="N15" s="506">
        <v>8</v>
      </c>
      <c r="O15" s="506">
        <v>8</v>
      </c>
      <c r="P15" s="506">
        <v>8</v>
      </c>
      <c r="Q15" s="232">
        <v>25</v>
      </c>
      <c r="R15" s="506">
        <v>14</v>
      </c>
      <c r="S15" s="231">
        <v>8</v>
      </c>
      <c r="T15" s="231">
        <v>8</v>
      </c>
      <c r="U15" s="231">
        <v>8</v>
      </c>
      <c r="V15" s="231">
        <v>8</v>
      </c>
      <c r="W15" s="1161">
        <v>8</v>
      </c>
      <c r="X15" s="1161">
        <v>8</v>
      </c>
      <c r="Y15" s="1161">
        <v>8</v>
      </c>
      <c r="Z15" s="1161">
        <v>8</v>
      </c>
      <c r="AA15" s="1161">
        <v>8</v>
      </c>
      <c r="AB15" s="1161">
        <v>8</v>
      </c>
      <c r="AC15" s="1161">
        <v>8</v>
      </c>
      <c r="AD15" s="1161">
        <v>8</v>
      </c>
      <c r="AE15" s="1161">
        <v>8</v>
      </c>
      <c r="AF15" s="1161">
        <v>8</v>
      </c>
      <c r="AG15" s="1161">
        <v>8</v>
      </c>
      <c r="AH15" s="1161">
        <v>8</v>
      </c>
      <c r="AI15" s="1161">
        <v>8</v>
      </c>
      <c r="AJ15" s="1161">
        <v>8</v>
      </c>
      <c r="AK15" s="1161">
        <v>8</v>
      </c>
      <c r="AL15" s="1161">
        <v>8</v>
      </c>
      <c r="AM15" s="1161">
        <v>8</v>
      </c>
      <c r="AN15" s="1161">
        <v>8</v>
      </c>
      <c r="AO15" s="1161">
        <v>8</v>
      </c>
      <c r="AP15" s="1161">
        <v>8</v>
      </c>
      <c r="AQ15" s="1161">
        <v>8</v>
      </c>
      <c r="AR15" s="1161">
        <v>8</v>
      </c>
      <c r="AS15" s="1161">
        <v>8</v>
      </c>
      <c r="AT15" s="1161">
        <v>8</v>
      </c>
      <c r="AU15" s="1161">
        <v>8</v>
      </c>
      <c r="AV15" s="1161">
        <v>8</v>
      </c>
      <c r="AW15" s="1161">
        <v>8</v>
      </c>
      <c r="AX15" s="1161">
        <v>8</v>
      </c>
      <c r="AY15" s="1161">
        <v>8</v>
      </c>
      <c r="AZ15" s="1161">
        <v>8</v>
      </c>
      <c r="BA15" s="1161">
        <v>8</v>
      </c>
      <c r="BB15" s="1161">
        <v>8</v>
      </c>
      <c r="BC15" s="1161">
        <v>8</v>
      </c>
      <c r="BD15" s="1161">
        <v>8</v>
      </c>
      <c r="BE15" s="1161">
        <v>8</v>
      </c>
      <c r="BF15" s="1161">
        <v>8</v>
      </c>
      <c r="BG15" s="1161">
        <v>8</v>
      </c>
      <c r="BH15" s="1161">
        <v>8</v>
      </c>
      <c r="BI15" s="1161">
        <v>8</v>
      </c>
      <c r="BJ15" s="1161">
        <v>8</v>
      </c>
      <c r="BK15" s="1161">
        <v>8</v>
      </c>
      <c r="BL15" s="1161">
        <v>8</v>
      </c>
      <c r="BM15" s="1161">
        <v>8</v>
      </c>
      <c r="BN15" s="1161">
        <v>8</v>
      </c>
      <c r="BO15" s="1161">
        <v>8</v>
      </c>
      <c r="BP15" s="1161">
        <v>8</v>
      </c>
      <c r="BQ15" s="1161">
        <v>8</v>
      </c>
      <c r="BR15" s="1161">
        <v>8</v>
      </c>
      <c r="BS15" s="1161">
        <v>8</v>
      </c>
      <c r="BT15" s="1161">
        <v>8</v>
      </c>
      <c r="BU15" s="1161">
        <v>8</v>
      </c>
      <c r="BV15" s="1161">
        <v>8</v>
      </c>
      <c r="BW15" s="1161">
        <v>8</v>
      </c>
      <c r="BX15" s="1161">
        <v>8</v>
      </c>
      <c r="BY15" s="1161">
        <v>8</v>
      </c>
      <c r="BZ15" s="1161">
        <v>8</v>
      </c>
      <c r="CA15" s="1161">
        <v>8</v>
      </c>
      <c r="CB15" s="1161">
        <v>8</v>
      </c>
      <c r="CC15" s="1161">
        <v>8</v>
      </c>
      <c r="CD15" s="1161">
        <v>8</v>
      </c>
      <c r="CE15" s="1161">
        <v>8</v>
      </c>
      <c r="CF15" s="1161">
        <v>8</v>
      </c>
      <c r="CG15" s="1161">
        <v>8</v>
      </c>
      <c r="CH15" s="1161">
        <v>8</v>
      </c>
      <c r="CI15" s="1161">
        <v>8</v>
      </c>
      <c r="CJ15" s="1161">
        <v>8</v>
      </c>
      <c r="CK15" s="1161">
        <v>8</v>
      </c>
      <c r="CL15" s="1161">
        <v>8</v>
      </c>
      <c r="CM15" s="1161">
        <v>8</v>
      </c>
      <c r="CN15" s="1161">
        <v>8</v>
      </c>
      <c r="CO15" s="1161">
        <v>8</v>
      </c>
      <c r="CP15" s="1161">
        <v>8</v>
      </c>
      <c r="CQ15" s="1161">
        <v>8</v>
      </c>
      <c r="CR15" s="1161">
        <v>8</v>
      </c>
      <c r="CS15" s="1161">
        <v>8</v>
      </c>
      <c r="CT15" s="1161">
        <v>8</v>
      </c>
      <c r="CU15" s="1161">
        <v>8</v>
      </c>
      <c r="CV15" s="1161">
        <v>8</v>
      </c>
      <c r="CW15" s="1161">
        <v>8</v>
      </c>
      <c r="CX15" s="1161">
        <v>8</v>
      </c>
      <c r="CY15" s="1161">
        <v>8</v>
      </c>
      <c r="CZ15" s="1161">
        <v>8</v>
      </c>
      <c r="DA15" s="1161">
        <v>8</v>
      </c>
      <c r="DB15" s="1161">
        <v>8</v>
      </c>
      <c r="DC15" s="1161">
        <v>8</v>
      </c>
      <c r="DD15" s="1161">
        <v>8</v>
      </c>
      <c r="DE15" s="1161">
        <v>8</v>
      </c>
      <c r="DF15" s="1161">
        <v>8</v>
      </c>
      <c r="DG15" s="1161">
        <v>8</v>
      </c>
      <c r="DH15" s="1161">
        <v>8</v>
      </c>
      <c r="DI15" s="1161">
        <v>8</v>
      </c>
      <c r="DJ15" s="1161">
        <v>8</v>
      </c>
      <c r="DK15" s="1161">
        <v>8</v>
      </c>
      <c r="DL15" s="1161">
        <v>8</v>
      </c>
      <c r="DM15" s="1161">
        <v>8</v>
      </c>
      <c r="DN15" s="1161">
        <v>8</v>
      </c>
      <c r="DO15" s="1161">
        <v>8</v>
      </c>
      <c r="DP15" s="1161">
        <v>8</v>
      </c>
      <c r="DQ15" s="1161">
        <v>8</v>
      </c>
      <c r="DR15" s="1161">
        <v>8</v>
      </c>
      <c r="DS15" s="1161">
        <v>8</v>
      </c>
      <c r="DT15" s="1161">
        <v>8</v>
      </c>
      <c r="DU15" s="1161">
        <v>8</v>
      </c>
      <c r="DV15" s="1161">
        <v>8</v>
      </c>
      <c r="DW15" s="1161">
        <v>8</v>
      </c>
      <c r="DX15" s="1161">
        <v>8</v>
      </c>
      <c r="DY15" s="1161">
        <v>8</v>
      </c>
      <c r="DZ15" s="1161">
        <v>8</v>
      </c>
      <c r="EA15" s="1161">
        <v>8</v>
      </c>
      <c r="EB15" s="1161">
        <v>8</v>
      </c>
      <c r="EC15" s="1161">
        <v>8</v>
      </c>
      <c r="ED15" s="1161">
        <v>8</v>
      </c>
      <c r="EE15" s="1161">
        <v>8</v>
      </c>
      <c r="EF15" s="1161">
        <v>8</v>
      </c>
      <c r="EG15" s="1161">
        <v>8</v>
      </c>
      <c r="EH15" s="1161">
        <v>8</v>
      </c>
      <c r="EI15" s="1161">
        <v>8</v>
      </c>
      <c r="EJ15" s="1161">
        <v>8</v>
      </c>
      <c r="EK15" s="1161">
        <v>8</v>
      </c>
      <c r="EL15" s="1161">
        <v>8</v>
      </c>
      <c r="EM15" s="1161">
        <v>8</v>
      </c>
      <c r="EN15" s="1161">
        <v>8</v>
      </c>
      <c r="EO15" s="1161">
        <v>8</v>
      </c>
      <c r="EP15" s="1161">
        <v>8</v>
      </c>
      <c r="EQ15" s="1161">
        <v>8</v>
      </c>
      <c r="ER15" s="1161">
        <v>8</v>
      </c>
      <c r="ES15" s="1161">
        <v>8</v>
      </c>
      <c r="ET15" s="1161">
        <v>8</v>
      </c>
      <c r="EU15" s="1161">
        <v>8</v>
      </c>
      <c r="EV15" s="1161">
        <v>8</v>
      </c>
      <c r="EW15" s="1161">
        <v>8</v>
      </c>
      <c r="EX15" s="1161">
        <v>8</v>
      </c>
      <c r="EY15" s="1161">
        <v>8</v>
      </c>
      <c r="EZ15" s="1161">
        <v>8</v>
      </c>
      <c r="FA15" s="1161">
        <v>8</v>
      </c>
      <c r="FB15" s="1161">
        <v>8</v>
      </c>
      <c r="FC15" s="1161">
        <v>8</v>
      </c>
      <c r="FD15" s="1161">
        <v>8</v>
      </c>
      <c r="FE15" s="1161">
        <v>8</v>
      </c>
      <c r="FF15" s="1161">
        <v>8</v>
      </c>
      <c r="FG15" s="1161">
        <v>8</v>
      </c>
      <c r="FH15" s="1161">
        <v>8</v>
      </c>
      <c r="FI15" s="1161">
        <v>8</v>
      </c>
      <c r="FJ15" s="1161">
        <v>8</v>
      </c>
      <c r="FK15" s="1161">
        <v>8</v>
      </c>
      <c r="FL15" s="1161">
        <v>8</v>
      </c>
      <c r="FM15" s="1161">
        <v>8</v>
      </c>
      <c r="FN15" s="1161">
        <v>8</v>
      </c>
      <c r="FO15" s="1161">
        <v>8</v>
      </c>
      <c r="FP15" s="1161">
        <v>8</v>
      </c>
      <c r="FQ15" s="1161">
        <v>8</v>
      </c>
      <c r="FR15" s="1161">
        <v>8</v>
      </c>
      <c r="FS15" s="1161">
        <v>8</v>
      </c>
      <c r="FT15" s="1161">
        <v>8</v>
      </c>
      <c r="FU15" s="1161">
        <v>8</v>
      </c>
      <c r="FV15" s="1161">
        <v>8</v>
      </c>
      <c r="FW15" s="1161">
        <v>8</v>
      </c>
      <c r="FX15" s="1161">
        <v>8</v>
      </c>
      <c r="FY15" s="1161">
        <v>8</v>
      </c>
      <c r="FZ15" s="1161">
        <v>8</v>
      </c>
      <c r="GA15" s="1161">
        <v>8</v>
      </c>
      <c r="GB15" s="1161">
        <v>8</v>
      </c>
      <c r="GC15" s="1161">
        <v>8</v>
      </c>
      <c r="GD15" s="1161">
        <v>8</v>
      </c>
      <c r="GE15" s="1161">
        <v>8</v>
      </c>
      <c r="GF15" s="1161">
        <v>8</v>
      </c>
      <c r="GG15" s="1161">
        <v>8</v>
      </c>
      <c r="GH15" s="1161">
        <v>8</v>
      </c>
      <c r="GI15" s="1161">
        <v>8</v>
      </c>
      <c r="GJ15" s="1161">
        <v>8</v>
      </c>
      <c r="GK15" s="1161">
        <v>8</v>
      </c>
      <c r="GL15" s="1161">
        <v>8</v>
      </c>
      <c r="GM15" s="1161">
        <v>8</v>
      </c>
      <c r="GN15" s="1161">
        <v>8</v>
      </c>
      <c r="GO15" s="1161">
        <v>8</v>
      </c>
      <c r="GP15" s="1161">
        <v>8</v>
      </c>
      <c r="GQ15" s="1161">
        <v>8</v>
      </c>
      <c r="GR15" s="1161">
        <v>8</v>
      </c>
      <c r="GS15" s="1161">
        <v>8</v>
      </c>
      <c r="GT15" s="1161">
        <v>8</v>
      </c>
      <c r="GU15" s="1161">
        <v>8</v>
      </c>
      <c r="GV15" s="1161">
        <v>8</v>
      </c>
      <c r="GW15" s="1161">
        <v>8</v>
      </c>
      <c r="GX15" s="1161">
        <v>8</v>
      </c>
      <c r="GY15" s="1161">
        <v>8</v>
      </c>
      <c r="GZ15" s="1161">
        <v>8</v>
      </c>
      <c r="HA15" s="1161">
        <v>8</v>
      </c>
      <c r="HB15" s="1161">
        <v>8</v>
      </c>
      <c r="HC15" s="1161">
        <v>8</v>
      </c>
      <c r="HD15" s="1161">
        <v>8</v>
      </c>
      <c r="HE15" s="1161">
        <v>8</v>
      </c>
      <c r="HF15" s="1161">
        <v>8</v>
      </c>
      <c r="HG15" s="1161">
        <v>8</v>
      </c>
      <c r="HH15" s="1161">
        <v>8</v>
      </c>
      <c r="HI15" s="1161">
        <v>8</v>
      </c>
      <c r="HJ15" s="1161">
        <v>8</v>
      </c>
      <c r="HK15" s="1161">
        <v>8</v>
      </c>
      <c r="HL15" s="1161">
        <v>8</v>
      </c>
      <c r="HM15" s="1161">
        <v>8</v>
      </c>
      <c r="HN15" s="1161">
        <v>8</v>
      </c>
      <c r="HO15" s="1161">
        <v>8</v>
      </c>
      <c r="HP15" s="1161">
        <v>8</v>
      </c>
      <c r="HQ15" s="1161">
        <v>8</v>
      </c>
      <c r="HR15" s="1161">
        <v>8</v>
      </c>
      <c r="HS15" s="1161">
        <v>8</v>
      </c>
      <c r="HT15" s="1161">
        <v>8</v>
      </c>
      <c r="HU15" s="1161">
        <v>8</v>
      </c>
      <c r="HV15" s="1161">
        <v>8</v>
      </c>
      <c r="HW15" s="1161">
        <v>8</v>
      </c>
      <c r="HX15" s="1161">
        <v>8</v>
      </c>
      <c r="HY15" s="1161">
        <v>8</v>
      </c>
      <c r="HZ15" s="1161">
        <v>8</v>
      </c>
      <c r="IA15" s="1161">
        <v>8</v>
      </c>
      <c r="IB15" s="1161">
        <v>8</v>
      </c>
      <c r="IC15" s="1161">
        <v>8</v>
      </c>
      <c r="ID15" s="1161">
        <v>8</v>
      </c>
      <c r="IE15" s="1161">
        <v>8</v>
      </c>
      <c r="IF15" s="1161">
        <v>8</v>
      </c>
      <c r="IG15" s="1161">
        <v>8</v>
      </c>
      <c r="IH15" s="1161">
        <v>8</v>
      </c>
      <c r="II15" s="1161">
        <v>8</v>
      </c>
      <c r="IJ15" s="1161">
        <v>8</v>
      </c>
      <c r="IK15" s="1161">
        <v>8</v>
      </c>
      <c r="IL15" s="1161">
        <v>8</v>
      </c>
      <c r="IM15" s="1161">
        <v>8</v>
      </c>
      <c r="IN15" s="1161">
        <v>8</v>
      </c>
      <c r="IO15" s="1161">
        <v>8</v>
      </c>
      <c r="IP15" s="1161">
        <v>8</v>
      </c>
      <c r="IQ15" s="1161">
        <v>8</v>
      </c>
      <c r="IR15" s="1161">
        <v>8</v>
      </c>
      <c r="IS15" s="1161">
        <v>8</v>
      </c>
      <c r="IT15" s="1161">
        <v>8</v>
      </c>
      <c r="IU15" s="1161">
        <v>8</v>
      </c>
      <c r="IV15" s="1161">
        <v>8</v>
      </c>
      <c r="IW15" s="1161">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6144A8-C764-0EFC-BAE5-D58D4D3060E1}"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637" t="s">
        <v>14</v>
      </c>
    </row>
    <row s="1856" customFormat="1" customHeight="1" ht="22.5" hidden="1">
      <c r="A2" s="837"/>
      <c r="B2" s="1372">
        <v>1</v>
      </c>
      <c r="C2" s="1372"/>
      <c r="D2" s="1934" t="s">
        <v>253</v>
      </c>
      <c r="E2" s="1910"/>
      <c r="F2" s="1912" t="str">
        <f>IF(ROIV_INFO_NAME="","",ROIV_INFO_NAME)</f>
        <v>АО «ДГК» СП «Нерюнгринская ГРЭС»</v>
      </c>
      <c r="G2" s="1738" t="s">
        <v>28</v>
      </c>
      <c r="H2" s="1922"/>
      <c r="I2" s="1544"/>
      <c r="J2" s="824"/>
      <c r="K2" s="824"/>
      <c r="L2" s="234"/>
      <c r="M2" s="1541">
        <f>MERGEVALUE(F2)</f>
      </c>
      <c r="N2" s="1642"/>
      <c r="O2" s="1642"/>
      <c r="P2" s="1630" t="str">
        <f t="array" ref="P2:P2">IF(ISERROR(MATCH(MID(Q2,1,250),MID(note_ter,1,250),0)),"n","y")</f>
        <v>n</v>
      </c>
      <c r="Q2" s="1642"/>
      <c r="R2" s="1630" t="str">
        <f>G2&amp;"("&amp;L2&amp;")"</f>
        <v>()</v>
      </c>
      <c r="S2" s="1372"/>
      <c r="T2" s="1372"/>
      <c r="U2" s="426"/>
      <c r="V2" s="1372"/>
      <c r="W2" s="1372"/>
      <c r="X2" s="1372"/>
      <c r="Y2" s="839"/>
      <c r="Z2" s="839"/>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839"/>
      <c r="BW2" s="839"/>
      <c r="BX2" s="839"/>
      <c r="BY2" s="839"/>
      <c r="BZ2" s="839"/>
      <c r="CA2" s="839"/>
      <c r="CB2" s="839"/>
      <c r="CC2" s="839"/>
      <c r="CD2" s="839"/>
      <c r="CE2" s="839"/>
      <c r="IW2" s="630">
        <v>0</v>
      </c>
    </row>
    <row s="1648" customFormat="1" customHeight="1" ht="5.25" hidden="1">
      <c r="A3" s="1647"/>
      <c r="D3" s="1899"/>
      <c r="F3" s="254" t="s">
        <v>84</v>
      </c>
      <c r="G3" s="1741" t="s">
        <v>85</v>
      </c>
      <c r="H3" s="1899"/>
      <c r="I3" s="1899"/>
      <c r="J3" s="1899"/>
      <c r="K3" s="1899"/>
      <c r="L3" s="233" t="s">
        <v>86</v>
      </c>
      <c r="M3" s="254" t="s">
        <v>84</v>
      </c>
      <c r="N3" s="254"/>
      <c r="O3" s="254"/>
      <c r="P3" s="254"/>
      <c r="Q3" s="254"/>
      <c r="R3" s="254"/>
      <c r="S3" s="254"/>
      <c r="T3" s="254"/>
      <c r="U3" s="254"/>
      <c r="V3" s="254"/>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1642">
        <v>0</v>
      </c>
    </row>
    <row s="1825" customFormat="1" customHeight="1" ht="14.699999999999998">
      <c r="A4" s="1637"/>
      <c r="B4" s="1372"/>
      <c r="C4" s="1637"/>
      <c r="D4" s="1521"/>
      <c r="E4" s="1641"/>
      <c r="F4" s="1641"/>
      <c r="G4" s="1641"/>
      <c r="H4" s="1641"/>
      <c r="I4" s="1641"/>
      <c r="J4" s="1641"/>
      <c r="K4" s="1641"/>
      <c r="L4" s="1901"/>
      <c r="M4" s="254"/>
      <c r="N4" s="1630"/>
      <c r="O4" s="1630"/>
      <c r="P4" s="1630"/>
      <c r="Q4" s="1630"/>
      <c r="R4" s="1630"/>
      <c r="S4" s="231"/>
      <c r="T4" s="231"/>
      <c r="U4" s="231"/>
      <c r="V4" s="231"/>
      <c r="IW4" s="1615">
        <v>14</v>
      </c>
    </row>
    <row s="1825" customFormat="1" customHeight="1" ht="27.299999999999997">
      <c r="A5" s="1637"/>
      <c r="B5" s="1372"/>
      <c r="C5" s="1637"/>
      <c r="D5" s="1521"/>
      <c r="E5" s="21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6"/>
      <c r="G5" s="2106"/>
      <c r="H5" s="2106"/>
      <c r="I5" s="2106"/>
      <c r="J5" s="2106"/>
      <c r="K5" s="2106"/>
      <c r="L5" s="1641"/>
      <c r="M5" s="254"/>
      <c r="N5" s="1630"/>
      <c r="O5" s="1630"/>
      <c r="P5" s="1630"/>
      <c r="Q5" s="1630"/>
      <c r="R5" s="1630"/>
      <c r="S5" s="231"/>
      <c r="T5" s="231"/>
      <c r="U5" s="231"/>
      <c r="V5" s="231"/>
      <c r="IW5" s="1615">
        <v>26</v>
      </c>
    </row>
    <row s="1825" customFormat="1" customHeight="1" ht="14.699999999999998">
      <c r="A6" s="1637"/>
      <c r="B6" s="1372"/>
      <c r="C6" s="1637"/>
      <c r="D6" s="1521"/>
      <c r="E6" s="1641"/>
      <c r="F6" s="622"/>
      <c r="G6" s="622"/>
      <c r="H6" s="622"/>
      <c r="I6" s="622"/>
      <c r="J6" s="622"/>
      <c r="K6" s="622"/>
      <c r="L6" s="1258"/>
      <c r="M6" s="1630"/>
      <c r="N6" s="1630"/>
      <c r="O6" s="1630"/>
      <c r="P6" s="1630"/>
      <c r="Q6" s="1630"/>
      <c r="R6" s="1630"/>
      <c r="S6" s="231"/>
      <c r="T6" s="231"/>
      <c r="U6" s="231"/>
      <c r="V6" s="231"/>
      <c r="IW6" s="1615">
        <v>14</v>
      </c>
    </row>
    <row s="1825" customFormat="1" customHeight="1" ht="14.699999999999998">
      <c r="A7" s="1637"/>
      <c r="B7" s="1372"/>
      <c r="C7" s="1637"/>
      <c r="D7" s="1521"/>
      <c r="E7" s="2107" t="s">
        <v>316</v>
      </c>
      <c r="F7" s="2108"/>
      <c r="G7" s="2108"/>
      <c r="H7" s="2108"/>
      <c r="I7" s="2108"/>
      <c r="J7" s="2108"/>
      <c r="K7" s="2108"/>
      <c r="L7" s="2480" t="s">
        <v>317</v>
      </c>
      <c r="M7" s="1630"/>
      <c r="N7" s="1630"/>
      <c r="O7" s="1630"/>
      <c r="P7" s="1630"/>
      <c r="Q7" s="1630"/>
      <c r="R7" s="1630"/>
      <c r="S7" s="231"/>
      <c r="T7" s="231"/>
      <c r="U7" s="231"/>
      <c r="V7" s="231"/>
      <c r="IW7" s="1615">
        <v>14</v>
      </c>
    </row>
    <row s="1825" customFormat="1" customHeight="1" ht="67.2">
      <c r="A8" s="1637"/>
      <c r="B8" s="1372"/>
      <c r="C8" s="1637"/>
      <c r="D8" s="1521"/>
      <c r="E8" s="2484" t="s">
        <v>89</v>
      </c>
      <c r="F8" s="2484" t="s">
        <v>1919</v>
      </c>
      <c r="G8" s="2486" t="s">
        <v>1920</v>
      </c>
      <c r="H8" s="2487"/>
      <c r="I8" s="2488"/>
      <c r="J8" s="2484" t="s">
        <v>1921</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2"/>
      <c r="M8" s="1630"/>
      <c r="N8" s="1630"/>
      <c r="O8" s="1630"/>
      <c r="P8" s="1630"/>
      <c r="Q8" s="1630"/>
      <c r="R8" s="1630"/>
      <c r="S8" s="231"/>
      <c r="T8" s="231"/>
      <c r="U8" s="231"/>
      <c r="V8" s="231"/>
      <c r="IW8" s="1615">
        <v>64</v>
      </c>
    </row>
    <row s="1825" customFormat="1" customHeight="1" ht="29.25">
      <c r="A9" s="1637"/>
      <c r="B9" s="1372"/>
      <c r="C9" s="1637"/>
      <c r="D9" s="1521"/>
      <c r="E9" s="2485"/>
      <c r="F9" s="2485"/>
      <c r="G9" s="1900" t="s">
        <v>1915</v>
      </c>
      <c r="H9" s="1900" t="s">
        <v>1916</v>
      </c>
      <c r="I9" s="1900" t="s">
        <v>1917</v>
      </c>
      <c r="J9" s="2485"/>
      <c r="K9" s="2485"/>
      <c r="L9" s="2481"/>
      <c r="M9" s="1630"/>
      <c r="N9" s="1630"/>
      <c r="O9" s="1630"/>
      <c r="P9" s="1630"/>
      <c r="Q9" s="1630"/>
      <c r="R9" s="1630"/>
      <c r="S9" s="231"/>
      <c r="T9" s="231"/>
      <c r="U9" s="231"/>
      <c r="V9" s="231"/>
      <c r="IW9" s="1615">
        <v>28</v>
      </c>
    </row>
    <row s="1856" customFormat="1" customHeight="1" ht="1.05">
      <c r="A10" s="2105"/>
      <c r="B10" s="1372">
        <v>1</v>
      </c>
      <c r="C10" s="1372"/>
      <c r="D10" s="806"/>
      <c r="E10" s="801">
        <v>0</v>
      </c>
      <c r="F10" s="1897" t="str">
        <f>IF(ROIV_INFO_NAME="","",ROIV_INFO_NAME)</f>
        <v>АО «ДГК» СП «Нерюнгринская ГРЭС»</v>
      </c>
      <c r="G10" s="1739" t="s">
        <v>28</v>
      </c>
      <c r="H10" s="1909"/>
      <c r="I10" s="1909"/>
      <c r="J10" s="525"/>
      <c r="K10" s="525"/>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1642"/>
      <c r="O10" s="1642"/>
      <c r="P10" s="1630" t="str">
        <f t="array" ref="P10:P10">IF(ISERROR(MATCH(MID(Q10,1,250),MID(note_ter,1,250),0)),"n","y")</f>
        <v>n</v>
      </c>
      <c r="Q10" s="1642"/>
      <c r="R10" s="163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2"/>
      <c r="T10" s="1372"/>
      <c r="U10" s="426"/>
      <c r="V10" s="1372"/>
      <c r="W10" s="1372"/>
      <c r="X10" s="1372"/>
      <c r="Y10" s="839"/>
      <c r="Z10" s="839"/>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839"/>
      <c r="BW10" s="839"/>
      <c r="BX10" s="839"/>
      <c r="BY10" s="839"/>
      <c r="BZ10" s="839"/>
      <c r="CA10" s="839"/>
      <c r="CB10" s="839"/>
      <c r="CC10" s="839"/>
      <c r="CD10" s="839"/>
      <c r="CE10" s="839"/>
      <c r="IW10" s="630">
        <v>1</v>
      </c>
    </row>
    <row s="1856" customFormat="1" customHeight="1" ht="15.75">
      <c r="A11" s="2105"/>
      <c r="B11" s="1372"/>
      <c r="C11" s="418"/>
      <c r="D11" s="807"/>
      <c r="E11" s="427"/>
      <c r="F11" s="657" t="s">
        <v>1918</v>
      </c>
      <c r="G11" s="193"/>
      <c r="H11" s="193"/>
      <c r="I11" s="193"/>
      <c r="J11" s="193"/>
      <c r="K11" s="430"/>
      <c r="L11" s="2483"/>
      <c r="M11" s="1542"/>
      <c r="N11" s="1642"/>
      <c r="O11" s="1642"/>
      <c r="P11" s="1642"/>
      <c r="Q11" s="1630"/>
      <c r="R11" s="1642"/>
      <c r="S11" s="1372"/>
      <c r="T11" s="1372"/>
      <c r="U11" s="426"/>
      <c r="V11" s="1372"/>
      <c r="W11" s="1372"/>
      <c r="X11" s="1372"/>
      <c r="Y11" s="839"/>
      <c r="Z11" s="839"/>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3"/>
      <c r="BQ11" s="633"/>
      <c r="BR11" s="633"/>
      <c r="BS11" s="633"/>
      <c r="BT11" s="633"/>
      <c r="BU11" s="633"/>
      <c r="BV11" s="839"/>
      <c r="BW11" s="839"/>
      <c r="BX11" s="839"/>
      <c r="BY11" s="839"/>
      <c r="BZ11" s="839"/>
      <c r="CA11" s="839"/>
      <c r="CB11" s="839"/>
      <c r="CC11" s="839"/>
      <c r="CD11" s="839"/>
      <c r="CE11" s="839"/>
      <c r="IW11" s="630">
        <v>15</v>
      </c>
    </row>
    <row s="1825" customFormat="1" customHeight="1" ht="22.049999999999997">
      <c r="A12" s="1637"/>
      <c r="B12" s="1372"/>
      <c r="C12" s="1637"/>
      <c r="D12" s="1639"/>
      <c r="E12" s="186"/>
      <c r="F12" s="186"/>
      <c r="G12" s="186"/>
      <c r="H12" s="186"/>
      <c r="I12" s="186"/>
      <c r="J12" s="186"/>
      <c r="K12" s="186"/>
      <c r="L12" s="186"/>
      <c r="M12" s="1630"/>
      <c r="N12" s="1630"/>
      <c r="O12" s="1630"/>
      <c r="P12" s="1630"/>
      <c r="Q12" s="1630"/>
      <c r="R12" s="1630"/>
      <c r="S12" s="231"/>
      <c r="T12" s="231"/>
      <c r="U12" s="231"/>
      <c r="V12" s="231"/>
      <c r="IW12" s="1615">
        <v>21</v>
      </c>
    </row>
    <row s="1825" customFormat="1" customHeight="1" ht="14.699999999999998">
      <c r="A13" s="1637"/>
      <c r="B13" s="1372"/>
      <c r="C13" s="1637"/>
      <c r="D13" s="1639"/>
      <c r="E13" s="1637"/>
      <c r="F13" s="1637"/>
      <c r="G13" s="1637"/>
      <c r="H13" s="1637"/>
      <c r="I13" s="1637"/>
      <c r="J13" s="1637"/>
      <c r="K13" s="1637"/>
      <c r="L13" s="1637"/>
      <c r="M13" s="1630"/>
      <c r="N13" s="1630"/>
      <c r="O13" s="1630"/>
      <c r="P13" s="1630"/>
      <c r="Q13" s="1630"/>
      <c r="R13" s="1630"/>
      <c r="S13" s="231"/>
      <c r="T13" s="231"/>
      <c r="U13" s="231"/>
      <c r="V13" s="231"/>
      <c r="IW13" s="1615">
        <v>14</v>
      </c>
    </row>
    <row s="1825" customFormat="1" customHeight="1" ht="1.05">
      <c r="A14" s="1637"/>
      <c r="B14" s="1372"/>
      <c r="C14" s="1637"/>
      <c r="D14" s="1639"/>
      <c r="E14" s="1637"/>
      <c r="F14" s="1637"/>
      <c r="G14" s="1637"/>
      <c r="H14" s="1637"/>
      <c r="I14" s="1637"/>
      <c r="J14" s="1637"/>
      <c r="K14" s="1637"/>
      <c r="L14" s="1637"/>
      <c r="M14" s="1630"/>
      <c r="N14" s="1630"/>
      <c r="O14" s="1630"/>
      <c r="P14" s="1630"/>
      <c r="Q14" s="1630"/>
      <c r="R14" s="1630"/>
      <c r="S14" s="231"/>
      <c r="T14" s="231"/>
      <c r="U14" s="231"/>
      <c r="V14" s="231"/>
      <c r="IW14" s="1615">
        <v>1</v>
      </c>
    </row>
    <row customHeight="1" ht="22.5" hidden="1">
      <c r="A15" s="1637" t="s">
        <v>83</v>
      </c>
      <c r="B15" s="1372">
        <v>0</v>
      </c>
      <c r="C15" s="1637">
        <v>0</v>
      </c>
      <c r="D15" s="1639">
        <v>3</v>
      </c>
      <c r="E15" s="1637">
        <v>6</v>
      </c>
      <c r="F15" s="1637">
        <v>27</v>
      </c>
      <c r="G15" s="1637">
        <v>16</v>
      </c>
      <c r="H15" s="1637">
        <v>12</v>
      </c>
      <c r="I15" s="1637">
        <v>32</v>
      </c>
      <c r="J15" s="1637">
        <v>41</v>
      </c>
      <c r="K15" s="1637">
        <v>41</v>
      </c>
      <c r="L15" s="1637">
        <v>89</v>
      </c>
      <c r="M15" s="1630">
        <v>3</v>
      </c>
      <c r="N15" s="1630">
        <v>8</v>
      </c>
      <c r="O15" s="1630">
        <v>8</v>
      </c>
      <c r="P15" s="1630">
        <v>8</v>
      </c>
      <c r="Q15" s="1630">
        <v>25</v>
      </c>
      <c r="R15" s="1630">
        <v>14</v>
      </c>
      <c r="S15" s="231">
        <v>8</v>
      </c>
      <c r="T15" s="231">
        <v>8</v>
      </c>
      <c r="U15" s="231">
        <v>8</v>
      </c>
      <c r="V15" s="231">
        <v>8</v>
      </c>
      <c r="W15" s="1637">
        <v>8</v>
      </c>
      <c r="X15" s="1637">
        <v>8</v>
      </c>
      <c r="Y15" s="1637">
        <v>8</v>
      </c>
      <c r="Z15" s="1637">
        <v>8</v>
      </c>
      <c r="AA15" s="1637">
        <v>8</v>
      </c>
      <c r="AB15" s="1637">
        <v>8</v>
      </c>
      <c r="AC15" s="1637">
        <v>8</v>
      </c>
      <c r="AD15" s="1637">
        <v>8</v>
      </c>
      <c r="AE15" s="1637">
        <v>8</v>
      </c>
      <c r="AF15" s="1637">
        <v>8</v>
      </c>
      <c r="AG15" s="1637">
        <v>8</v>
      </c>
      <c r="AH15" s="1637">
        <v>8</v>
      </c>
      <c r="AI15" s="1637">
        <v>8</v>
      </c>
      <c r="AJ15" s="1637">
        <v>8</v>
      </c>
      <c r="AK15" s="1637">
        <v>8</v>
      </c>
      <c r="AL15" s="1637">
        <v>8</v>
      </c>
      <c r="AM15" s="1637">
        <v>8</v>
      </c>
      <c r="AN15" s="1637">
        <v>8</v>
      </c>
      <c r="AO15" s="1637">
        <v>8</v>
      </c>
      <c r="AP15" s="1637">
        <v>8</v>
      </c>
      <c r="AQ15" s="1637">
        <v>8</v>
      </c>
      <c r="AR15" s="1637">
        <v>8</v>
      </c>
      <c r="AS15" s="1637">
        <v>8</v>
      </c>
      <c r="AT15" s="1637">
        <v>8</v>
      </c>
      <c r="AU15" s="1637">
        <v>8</v>
      </c>
      <c r="AV15" s="1637">
        <v>8</v>
      </c>
      <c r="AW15" s="1637">
        <v>8</v>
      </c>
      <c r="AX15" s="1637">
        <v>8</v>
      </c>
      <c r="AY15" s="1637">
        <v>8</v>
      </c>
      <c r="AZ15" s="1637">
        <v>8</v>
      </c>
      <c r="BA15" s="1637">
        <v>8</v>
      </c>
      <c r="BB15" s="1637">
        <v>8</v>
      </c>
      <c r="BC15" s="1637">
        <v>8</v>
      </c>
      <c r="BD15" s="1637">
        <v>8</v>
      </c>
      <c r="BE15" s="1637">
        <v>8</v>
      </c>
      <c r="BF15" s="1637">
        <v>8</v>
      </c>
      <c r="BG15" s="1637">
        <v>8</v>
      </c>
      <c r="BH15" s="1637">
        <v>8</v>
      </c>
      <c r="BI15" s="1637">
        <v>8</v>
      </c>
      <c r="BJ15" s="1637">
        <v>8</v>
      </c>
      <c r="BK15" s="1637">
        <v>8</v>
      </c>
      <c r="BL15" s="1637">
        <v>8</v>
      </c>
      <c r="BM15" s="1637">
        <v>8</v>
      </c>
      <c r="BN15" s="1637">
        <v>8</v>
      </c>
      <c r="BO15" s="1637">
        <v>8</v>
      </c>
      <c r="BP15" s="1637">
        <v>8</v>
      </c>
      <c r="BQ15" s="1637">
        <v>8</v>
      </c>
      <c r="BR15" s="1637">
        <v>8</v>
      </c>
      <c r="BS15" s="1637">
        <v>8</v>
      </c>
      <c r="BT15" s="1637">
        <v>8</v>
      </c>
      <c r="BU15" s="1637">
        <v>8</v>
      </c>
      <c r="BV15" s="1637">
        <v>8</v>
      </c>
      <c r="BW15" s="1637">
        <v>8</v>
      </c>
      <c r="BX15" s="1637">
        <v>8</v>
      </c>
      <c r="BY15" s="1637">
        <v>8</v>
      </c>
      <c r="BZ15" s="1637">
        <v>8</v>
      </c>
      <c r="CA15" s="1637">
        <v>8</v>
      </c>
      <c r="CB15" s="1637">
        <v>8</v>
      </c>
      <c r="CC15" s="1637">
        <v>8</v>
      </c>
      <c r="CD15" s="1637">
        <v>8</v>
      </c>
      <c r="CE15" s="1637">
        <v>8</v>
      </c>
      <c r="CF15" s="1637">
        <v>8</v>
      </c>
      <c r="CG15" s="1637">
        <v>8</v>
      </c>
      <c r="CH15" s="1637">
        <v>8</v>
      </c>
      <c r="CI15" s="1637">
        <v>8</v>
      </c>
      <c r="CJ15" s="1637">
        <v>8</v>
      </c>
      <c r="CK15" s="1637">
        <v>8</v>
      </c>
      <c r="CL15" s="1637">
        <v>8</v>
      </c>
      <c r="CM15" s="1637">
        <v>8</v>
      </c>
      <c r="CN15" s="1637">
        <v>8</v>
      </c>
      <c r="CO15" s="1637">
        <v>8</v>
      </c>
      <c r="CP15" s="1637">
        <v>8</v>
      </c>
      <c r="CQ15" s="1637">
        <v>8</v>
      </c>
      <c r="CR15" s="1637">
        <v>8</v>
      </c>
      <c r="CS15" s="1637">
        <v>8</v>
      </c>
      <c r="CT15" s="1637">
        <v>8</v>
      </c>
      <c r="CU15" s="1637">
        <v>8</v>
      </c>
      <c r="CV15" s="1637">
        <v>8</v>
      </c>
      <c r="CW15" s="1637">
        <v>8</v>
      </c>
      <c r="CX15" s="1637">
        <v>8</v>
      </c>
      <c r="CY15" s="1637">
        <v>8</v>
      </c>
      <c r="CZ15" s="1637">
        <v>8</v>
      </c>
      <c r="DA15" s="1637">
        <v>8</v>
      </c>
      <c r="DB15" s="1637">
        <v>8</v>
      </c>
      <c r="DC15" s="1637">
        <v>8</v>
      </c>
      <c r="DD15" s="1637">
        <v>8</v>
      </c>
      <c r="DE15" s="1637">
        <v>8</v>
      </c>
      <c r="DF15" s="1637">
        <v>8</v>
      </c>
      <c r="DG15" s="1637">
        <v>8</v>
      </c>
      <c r="DH15" s="1637">
        <v>8</v>
      </c>
      <c r="DI15" s="1637">
        <v>8</v>
      </c>
      <c r="DJ15" s="1637">
        <v>8</v>
      </c>
      <c r="DK15" s="1637">
        <v>8</v>
      </c>
      <c r="DL15" s="1637">
        <v>8</v>
      </c>
      <c r="DM15" s="1637">
        <v>8</v>
      </c>
      <c r="DN15" s="1637">
        <v>8</v>
      </c>
      <c r="DO15" s="1637">
        <v>8</v>
      </c>
      <c r="DP15" s="1637">
        <v>8</v>
      </c>
      <c r="DQ15" s="1637">
        <v>8</v>
      </c>
      <c r="DR15" s="1637">
        <v>8</v>
      </c>
      <c r="DS15" s="1637">
        <v>8</v>
      </c>
      <c r="DT15" s="1637">
        <v>8</v>
      </c>
      <c r="DU15" s="1637">
        <v>8</v>
      </c>
      <c r="DV15" s="1637">
        <v>8</v>
      </c>
      <c r="DW15" s="1637">
        <v>8</v>
      </c>
      <c r="DX15" s="1637">
        <v>8</v>
      </c>
      <c r="DY15" s="1637">
        <v>8</v>
      </c>
      <c r="DZ15" s="1637">
        <v>8</v>
      </c>
      <c r="EA15" s="1637">
        <v>8</v>
      </c>
      <c r="EB15" s="1637">
        <v>8</v>
      </c>
      <c r="EC15" s="1637">
        <v>8</v>
      </c>
      <c r="ED15" s="1637">
        <v>8</v>
      </c>
      <c r="EE15" s="1637">
        <v>8</v>
      </c>
      <c r="EF15" s="1637">
        <v>8</v>
      </c>
      <c r="EG15" s="1637">
        <v>8</v>
      </c>
      <c r="EH15" s="1637">
        <v>8</v>
      </c>
      <c r="EI15" s="1637">
        <v>8</v>
      </c>
      <c r="EJ15" s="1637">
        <v>8</v>
      </c>
      <c r="EK15" s="1637">
        <v>8</v>
      </c>
      <c r="EL15" s="1637">
        <v>8</v>
      </c>
      <c r="EM15" s="1637">
        <v>8</v>
      </c>
      <c r="EN15" s="1637">
        <v>8</v>
      </c>
      <c r="EO15" s="1637">
        <v>8</v>
      </c>
      <c r="EP15" s="1637">
        <v>8</v>
      </c>
      <c r="EQ15" s="1637">
        <v>8</v>
      </c>
      <c r="ER15" s="1637">
        <v>8</v>
      </c>
      <c r="ES15" s="1637">
        <v>8</v>
      </c>
      <c r="ET15" s="1637">
        <v>8</v>
      </c>
      <c r="EU15" s="1637">
        <v>8</v>
      </c>
      <c r="EV15" s="1637">
        <v>8</v>
      </c>
      <c r="EW15" s="1637">
        <v>8</v>
      </c>
      <c r="EX15" s="1637">
        <v>8</v>
      </c>
      <c r="EY15" s="1637">
        <v>8</v>
      </c>
      <c r="EZ15" s="1637">
        <v>8</v>
      </c>
      <c r="FA15" s="1637">
        <v>8</v>
      </c>
      <c r="FB15" s="1637">
        <v>8</v>
      </c>
      <c r="FC15" s="1637">
        <v>8</v>
      </c>
      <c r="FD15" s="1637">
        <v>8</v>
      </c>
      <c r="FE15" s="1637">
        <v>8</v>
      </c>
      <c r="FF15" s="1637">
        <v>8</v>
      </c>
      <c r="FG15" s="1637">
        <v>8</v>
      </c>
      <c r="FH15" s="1637">
        <v>8</v>
      </c>
      <c r="FI15" s="1637">
        <v>8</v>
      </c>
      <c r="FJ15" s="1637">
        <v>8</v>
      </c>
      <c r="FK15" s="1637">
        <v>8</v>
      </c>
      <c r="FL15" s="1637">
        <v>8</v>
      </c>
      <c r="FM15" s="1637">
        <v>8</v>
      </c>
      <c r="FN15" s="1637">
        <v>8</v>
      </c>
      <c r="FO15" s="1637">
        <v>8</v>
      </c>
      <c r="FP15" s="1637">
        <v>8</v>
      </c>
      <c r="FQ15" s="1637">
        <v>8</v>
      </c>
      <c r="FR15" s="1637">
        <v>8</v>
      </c>
      <c r="FS15" s="1637">
        <v>8</v>
      </c>
      <c r="FT15" s="1637">
        <v>8</v>
      </c>
      <c r="FU15" s="1637">
        <v>8</v>
      </c>
      <c r="FV15" s="1637">
        <v>8</v>
      </c>
      <c r="FW15" s="1637">
        <v>8</v>
      </c>
      <c r="FX15" s="1637">
        <v>8</v>
      </c>
      <c r="FY15" s="1637">
        <v>8</v>
      </c>
      <c r="FZ15" s="1637">
        <v>8</v>
      </c>
      <c r="GA15" s="1637">
        <v>8</v>
      </c>
      <c r="GB15" s="1637">
        <v>8</v>
      </c>
      <c r="GC15" s="1637">
        <v>8</v>
      </c>
      <c r="GD15" s="1637">
        <v>8</v>
      </c>
      <c r="GE15" s="1637">
        <v>8</v>
      </c>
      <c r="GF15" s="1637">
        <v>8</v>
      </c>
      <c r="GG15" s="1637">
        <v>8</v>
      </c>
      <c r="GH15" s="1637">
        <v>8</v>
      </c>
      <c r="GI15" s="1637">
        <v>8</v>
      </c>
      <c r="GJ15" s="1637">
        <v>8</v>
      </c>
      <c r="GK15" s="1637">
        <v>8</v>
      </c>
      <c r="GL15" s="1637">
        <v>8</v>
      </c>
      <c r="GM15" s="1637">
        <v>8</v>
      </c>
      <c r="GN15" s="1637">
        <v>8</v>
      </c>
      <c r="GO15" s="1637">
        <v>8</v>
      </c>
      <c r="GP15" s="1637">
        <v>8</v>
      </c>
      <c r="GQ15" s="1637">
        <v>8</v>
      </c>
      <c r="GR15" s="1637">
        <v>8</v>
      </c>
      <c r="GS15" s="1637">
        <v>8</v>
      </c>
      <c r="GT15" s="1637">
        <v>8</v>
      </c>
      <c r="GU15" s="1637">
        <v>8</v>
      </c>
      <c r="GV15" s="1637">
        <v>8</v>
      </c>
      <c r="GW15" s="1637">
        <v>8</v>
      </c>
      <c r="GX15" s="1637">
        <v>8</v>
      </c>
      <c r="GY15" s="1637">
        <v>8</v>
      </c>
      <c r="GZ15" s="1637">
        <v>8</v>
      </c>
      <c r="HA15" s="1637">
        <v>8</v>
      </c>
      <c r="HB15" s="1637">
        <v>8</v>
      </c>
      <c r="HC15" s="1637">
        <v>8</v>
      </c>
      <c r="HD15" s="1637">
        <v>8</v>
      </c>
      <c r="HE15" s="1637">
        <v>8</v>
      </c>
      <c r="HF15" s="1637">
        <v>8</v>
      </c>
      <c r="HG15" s="1637">
        <v>8</v>
      </c>
      <c r="HH15" s="1637">
        <v>8</v>
      </c>
      <c r="HI15" s="1637">
        <v>8</v>
      </c>
      <c r="HJ15" s="1637">
        <v>8</v>
      </c>
      <c r="HK15" s="1637">
        <v>8</v>
      </c>
      <c r="HL15" s="1637">
        <v>8</v>
      </c>
      <c r="HM15" s="1637">
        <v>8</v>
      </c>
      <c r="HN15" s="1637">
        <v>8</v>
      </c>
      <c r="HO15" s="1637">
        <v>8</v>
      </c>
      <c r="HP15" s="1637">
        <v>8</v>
      </c>
      <c r="HQ15" s="1637">
        <v>8</v>
      </c>
      <c r="HR15" s="1637">
        <v>8</v>
      </c>
      <c r="HS15" s="1637">
        <v>8</v>
      </c>
      <c r="HT15" s="1637">
        <v>8</v>
      </c>
      <c r="HU15" s="1637">
        <v>8</v>
      </c>
      <c r="HV15" s="1637">
        <v>8</v>
      </c>
      <c r="HW15" s="1637">
        <v>8</v>
      </c>
      <c r="HX15" s="1637">
        <v>8</v>
      </c>
      <c r="HY15" s="1637">
        <v>8</v>
      </c>
      <c r="HZ15" s="1637">
        <v>8</v>
      </c>
      <c r="IA15" s="1637">
        <v>8</v>
      </c>
      <c r="IB15" s="1637">
        <v>8</v>
      </c>
      <c r="IC15" s="1637">
        <v>8</v>
      </c>
      <c r="ID15" s="1637">
        <v>8</v>
      </c>
      <c r="IE15" s="1637">
        <v>8</v>
      </c>
      <c r="IF15" s="1637">
        <v>8</v>
      </c>
      <c r="IG15" s="1637">
        <v>8</v>
      </c>
      <c r="IH15" s="1637">
        <v>8</v>
      </c>
      <c r="II15" s="1637">
        <v>8</v>
      </c>
      <c r="IJ15" s="1637">
        <v>8</v>
      </c>
      <c r="IK15" s="1637">
        <v>8</v>
      </c>
      <c r="IL15" s="1637">
        <v>8</v>
      </c>
      <c r="IM15" s="1637">
        <v>8</v>
      </c>
      <c r="IN15" s="1637">
        <v>8</v>
      </c>
      <c r="IO15" s="1637">
        <v>8</v>
      </c>
      <c r="IP15" s="1637">
        <v>8</v>
      </c>
      <c r="IQ15" s="1637">
        <v>8</v>
      </c>
      <c r="IR15" s="1637">
        <v>8</v>
      </c>
      <c r="IS15" s="1637">
        <v>8</v>
      </c>
      <c r="IT15" s="1637">
        <v>8</v>
      </c>
      <c r="IU15" s="1637">
        <v>8</v>
      </c>
      <c r="IV15" s="1637">
        <v>8</v>
      </c>
      <c r="IW15" s="1637">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3A58EC-C486-DDE6-B54C-E2D9FE851862}"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29.00390625" customWidth="1"/>
    <col min="8" max="8" style="1641" width="25.00390625" customWidth="1"/>
    <col min="9" max="9" style="1641" width="5.00390625" customWidth="1"/>
    <col min="10" max="10" style="1641" width="6.00390625" customWidth="1"/>
    <col min="11" max="11" style="1641" width="41.00390625" customWidth="1"/>
    <col min="12" max="12" style="1641" width="42.00390625" customWidth="1"/>
    <col min="13" max="13" style="1641" width="41.00390625" customWidth="1"/>
    <col min="14" max="14" style="1641" width="89.00390625" customWidth="1"/>
    <col min="15" max="15" style="1630" width="3.00390625" customWidth="1"/>
    <col min="16" max="16" style="1630" width="8.00390625" customWidth="1"/>
    <col min="17" max="17" style="1641" width="9.140625" hidden="1"/>
  </cols>
  <sheetData>
    <row customHeight="1" ht="22.5" hidden="1">
      <c r="Q1" s="1161" t="s">
        <v>14</v>
      </c>
    </row>
    <row s="1856" customFormat="1" customHeight="1" ht="22.5" hidden="1">
      <c r="A2" s="502"/>
      <c r="B2" s="1166">
        <v>1</v>
      </c>
      <c r="C2" s="1166"/>
      <c r="D2" s="1934" t="s">
        <v>253</v>
      </c>
      <c r="E2" s="2133">
        <v>1</v>
      </c>
      <c r="F2" s="2309" t="str">
        <f>IF(region_name="","",region_name)</f>
        <v>Республика Саха (Якутия)</v>
      </c>
      <c r="G2" s="2489"/>
      <c r="H2" s="2490"/>
      <c r="I2" s="480"/>
      <c r="J2" s="1916">
        <v>1</v>
      </c>
      <c r="K2" s="1918"/>
      <c r="L2" s="1918"/>
      <c r="M2" s="1918"/>
      <c r="N2" s="498"/>
      <c r="O2" s="1541"/>
      <c r="P2" s="517"/>
      <c r="Q2" s="429">
        <v>0</v>
      </c>
    </row>
    <row s="1856" customFormat="1" customHeight="1" ht="22.5" hidden="1">
      <c r="A3" s="837"/>
      <c r="B3" s="1166"/>
      <c r="C3" s="1166"/>
      <c r="D3" s="807"/>
      <c r="E3" s="2133"/>
      <c r="F3" s="2309"/>
      <c r="G3" s="2489"/>
      <c r="H3" s="2491"/>
      <c r="I3" s="427"/>
      <c r="J3" s="1506"/>
      <c r="K3" s="1506" t="s">
        <v>1922</v>
      </c>
      <c r="L3" s="1549"/>
      <c r="M3" s="1926"/>
      <c r="N3" s="1919"/>
      <c r="O3" s="1541"/>
      <c r="P3" s="517"/>
      <c r="Q3" s="429">
        <v>0</v>
      </c>
    </row>
    <row s="1648" customFormat="1" customHeight="1" ht="5.25" hidden="1">
      <c r="A4" s="502"/>
      <c r="D4" s="500"/>
      <c r="F4" s="253" t="s">
        <v>84</v>
      </c>
      <c r="G4" s="500" t="s">
        <v>85</v>
      </c>
      <c r="H4" s="500"/>
      <c r="I4" s="1929"/>
      <c r="J4" s="1550"/>
      <c r="K4" s="1917"/>
      <c r="L4" s="1917"/>
      <c r="M4" s="1917"/>
      <c r="N4" s="1913"/>
      <c r="O4" s="253" t="s">
        <v>84</v>
      </c>
      <c r="P4" s="253"/>
      <c r="Q4" s="517">
        <v>0</v>
      </c>
    </row>
    <row s="1856" customFormat="1" customHeight="1" ht="22.5" hidden="1">
      <c r="A5" s="1647"/>
      <c r="B5" s="1372">
        <v>1</v>
      </c>
      <c r="C5" s="1372"/>
      <c r="D5" s="807"/>
      <c r="E5" s="1919"/>
      <c r="F5" s="1919"/>
      <c r="G5" s="1919"/>
      <c r="H5" s="1930"/>
      <c r="I5" s="1935" t="s">
        <v>253</v>
      </c>
      <c r="J5" s="1928">
        <v>1</v>
      </c>
      <c r="K5" s="1918"/>
      <c r="L5" s="1918"/>
      <c r="M5" s="1918"/>
      <c r="N5" s="498"/>
      <c r="O5" s="1541"/>
      <c r="P5" s="1642"/>
      <c r="Q5" s="630">
        <v>0</v>
      </c>
    </row>
    <row s="1825" customFormat="1" customHeight="1" ht="14.699999999999998">
      <c r="A6" s="1161"/>
      <c r="B6" s="1166"/>
      <c r="C6" s="1161"/>
      <c r="D6" s="1501"/>
      <c r="E6" s="515"/>
      <c r="F6" s="515"/>
      <c r="G6" s="515"/>
      <c r="H6" s="515"/>
      <c r="I6" s="515"/>
      <c r="J6" s="515"/>
      <c r="K6" s="515"/>
      <c r="L6" s="515"/>
      <c r="M6" s="515"/>
      <c r="N6" s="1641"/>
      <c r="O6" s="253"/>
      <c r="P6" s="506"/>
      <c r="Q6" s="513">
        <v>14</v>
      </c>
    </row>
    <row s="1825" customFormat="1" customHeight="1" ht="27.299999999999997">
      <c r="A7" s="1161"/>
      <c r="B7" s="1166"/>
      <c r="C7" s="1161"/>
      <c r="D7" s="1501"/>
      <c r="E7" s="24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6"/>
      <c r="G7" s="2496"/>
      <c r="H7" s="2496"/>
      <c r="I7" s="2496"/>
      <c r="J7" s="2496"/>
      <c r="K7" s="2496"/>
      <c r="L7" s="2496"/>
      <c r="M7" s="2496"/>
      <c r="N7" s="1258"/>
      <c r="O7" s="253"/>
      <c r="P7" s="506"/>
      <c r="Q7" s="513">
        <v>26</v>
      </c>
    </row>
    <row s="1825" customFormat="1" customHeight="1" ht="14.699999999999998">
      <c r="A8" s="1161"/>
      <c r="B8" s="1166"/>
      <c r="C8" s="1161"/>
      <c r="D8" s="1501"/>
      <c r="E8" s="515"/>
      <c r="F8" s="173"/>
      <c r="G8" s="173"/>
      <c r="H8" s="173"/>
      <c r="I8" s="173"/>
      <c r="J8" s="173"/>
      <c r="K8" s="173"/>
      <c r="L8" s="173"/>
      <c r="M8" s="173"/>
      <c r="N8" s="622"/>
      <c r="O8" s="506"/>
      <c r="P8" s="506"/>
      <c r="Q8" s="513">
        <v>14</v>
      </c>
    </row>
    <row s="1552" customFormat="1" customHeight="1" ht="14.25" hidden="1">
      <c r="A9" s="1474"/>
      <c r="B9" s="1484"/>
      <c r="C9" s="1474"/>
      <c r="D9" s="1501"/>
      <c r="E9" s="1920"/>
      <c r="F9" s="1920"/>
      <c r="G9" s="1920"/>
      <c r="H9" s="1920"/>
      <c r="I9" s="2499"/>
      <c r="J9" s="2499"/>
      <c r="K9" s="2499"/>
      <c r="L9" s="1920"/>
      <c r="M9" s="1921"/>
      <c r="O9" s="1551"/>
      <c r="P9" s="1551"/>
      <c r="Q9" s="1552">
        <v>0</v>
      </c>
    </row>
    <row s="1825" customFormat="1" customHeight="1" ht="14.699999999999998">
      <c r="A10" s="1161"/>
      <c r="B10" s="1166"/>
      <c r="C10" s="1161"/>
      <c r="D10" s="1501"/>
      <c r="E10" s="2133" t="s">
        <v>316</v>
      </c>
      <c r="F10" s="2133"/>
      <c r="G10" s="2133"/>
      <c r="H10" s="2133"/>
      <c r="I10" s="2133"/>
      <c r="J10" s="2133"/>
      <c r="K10" s="2133"/>
      <c r="L10" s="2133"/>
      <c r="M10" s="2107"/>
      <c r="N10" s="2484" t="s">
        <v>317</v>
      </c>
      <c r="O10" s="506"/>
      <c r="P10" s="506"/>
      <c r="Q10" s="513">
        <v>14</v>
      </c>
    </row>
    <row s="1825" customFormat="1" customHeight="1" ht="44.25">
      <c r="A11" s="1637"/>
      <c r="B11" s="1372"/>
      <c r="C11" s="1637"/>
      <c r="D11" s="1521"/>
      <c r="E11" s="2498" t="s">
        <v>89</v>
      </c>
      <c r="F11" s="2498" t="s">
        <v>320</v>
      </c>
      <c r="G11" s="2498" t="s">
        <v>1923</v>
      </c>
      <c r="H11" s="2498"/>
      <c r="I11" s="2498" t="s">
        <v>1924</v>
      </c>
      <c r="J11" s="2498"/>
      <c r="K11" s="2498"/>
      <c r="L11" s="2498" t="s">
        <v>1925</v>
      </c>
      <c r="M11" s="2486" t="s">
        <v>1926</v>
      </c>
      <c r="N11" s="2497"/>
      <c r="O11" s="1630"/>
      <c r="P11" s="1630"/>
      <c r="Q11" s="1615">
        <v>42</v>
      </c>
    </row>
    <row s="1825" customFormat="1" customHeight="1" ht="29.25">
      <c r="A12" s="1161"/>
      <c r="B12" s="1166"/>
      <c r="C12" s="1161"/>
      <c r="D12" s="1501"/>
      <c r="E12" s="2484"/>
      <c r="F12" s="2498"/>
      <c r="G12" s="1915" t="s">
        <v>1927</v>
      </c>
      <c r="H12" s="1915" t="s">
        <v>324</v>
      </c>
      <c r="I12" s="2498"/>
      <c r="J12" s="2498"/>
      <c r="K12" s="2498"/>
      <c r="L12" s="2498"/>
      <c r="M12" s="2486"/>
      <c r="N12" s="2485"/>
      <c r="O12" s="506"/>
      <c r="P12" s="506"/>
      <c r="Q12" s="513">
        <v>28</v>
      </c>
    </row>
    <row s="1856" customFormat="1" customHeight="1" ht="23.25">
      <c r="A13" s="2105">
        <v>26379339</v>
      </c>
      <c r="B13" s="1166">
        <v>1</v>
      </c>
      <c r="C13" s="1166"/>
      <c r="D13" s="807"/>
      <c r="E13" s="2133">
        <v>1</v>
      </c>
      <c r="F13" s="2492" t="str">
        <f>IF(region_name="","",region_name)</f>
        <v>Республика Саха (Якутия)</v>
      </c>
      <c r="G13" s="2493"/>
      <c r="H13" s="2500"/>
      <c r="I13" s="480"/>
      <c r="J13" s="1911">
        <v>1</v>
      </c>
      <c r="K13" s="1924"/>
      <c r="L13" s="1925"/>
      <c r="M13" s="1925"/>
      <c r="N13" s="2494" t="s">
        <v>1928</v>
      </c>
      <c r="O13" s="1541"/>
      <c r="P13" s="517"/>
      <c r="Q13" s="429">
        <v>22</v>
      </c>
    </row>
    <row s="1856" customFormat="1" customHeight="1" ht="23.25">
      <c r="A14" s="2105"/>
      <c r="B14" s="1166"/>
      <c r="C14" s="1166"/>
      <c r="D14" s="807"/>
      <c r="E14" s="2133"/>
      <c r="F14" s="2492"/>
      <c r="G14" s="2493"/>
      <c r="H14" s="2501"/>
      <c r="I14" s="427"/>
      <c r="J14" s="1506"/>
      <c r="K14" s="1506" t="s">
        <v>1922</v>
      </c>
      <c r="L14" s="1549"/>
      <c r="M14" s="1549"/>
      <c r="N14" s="2495"/>
      <c r="O14" s="1541"/>
      <c r="P14" s="517"/>
      <c r="Q14" s="429">
        <v>22</v>
      </c>
    </row>
    <row s="1856" customFormat="1" customHeight="1" ht="23.25">
      <c r="A15" s="2105"/>
      <c r="B15" s="1166"/>
      <c r="C15" s="418"/>
      <c r="D15" s="807"/>
      <c r="E15" s="427"/>
      <c r="F15" s="1506" t="s">
        <v>1914</v>
      </c>
      <c r="G15" s="1548"/>
      <c r="H15" s="1548"/>
      <c r="I15" s="193"/>
      <c r="J15" s="193"/>
      <c r="K15" s="193"/>
      <c r="L15" s="193"/>
      <c r="M15" s="193"/>
      <c r="N15" s="2495"/>
      <c r="O15" s="1542"/>
      <c r="P15" s="517"/>
      <c r="Q15" s="429">
        <v>22</v>
      </c>
    </row>
    <row s="1825" customFormat="1" customHeight="1" ht="22.049999999999997">
      <c r="A16" s="1161"/>
      <c r="B16" s="1166"/>
      <c r="C16" s="1161"/>
      <c r="D16" s="457"/>
      <c r="E16" s="186"/>
      <c r="F16" s="186"/>
      <c r="G16" s="186"/>
      <c r="H16" s="186"/>
      <c r="I16" s="186"/>
      <c r="J16" s="186"/>
      <c r="K16" s="186"/>
      <c r="L16" s="186"/>
      <c r="M16" s="515"/>
      <c r="N16" s="1641"/>
      <c r="O16" s="506"/>
      <c r="P16" s="506"/>
      <c r="Q16" s="513">
        <v>21</v>
      </c>
    </row>
    <row s="1825" customFormat="1" customHeight="1" ht="14.699999999999998">
      <c r="A17" s="1161"/>
      <c r="B17" s="1166"/>
      <c r="C17" s="1161"/>
      <c r="D17" s="457"/>
      <c r="E17" s="1161"/>
      <c r="F17" s="1161"/>
      <c r="G17" s="1161"/>
      <c r="H17" s="1161"/>
      <c r="I17" s="1161"/>
      <c r="J17" s="1161"/>
      <c r="K17" s="1161"/>
      <c r="L17" s="1161"/>
      <c r="M17" s="1161"/>
      <c r="N17" s="1637"/>
      <c r="O17" s="506"/>
      <c r="P17" s="506"/>
      <c r="Q17" s="513">
        <v>14</v>
      </c>
    </row>
    <row s="1825" customFormat="1" customHeight="1" ht="1.05">
      <c r="A18" s="1161"/>
      <c r="B18" s="1166"/>
      <c r="C18" s="1161"/>
      <c r="D18" s="457"/>
      <c r="E18" s="1161"/>
      <c r="F18" s="1161"/>
      <c r="G18" s="1161"/>
      <c r="H18" s="1161"/>
      <c r="I18" s="1161"/>
      <c r="J18" s="1161"/>
      <c r="K18" s="1161"/>
      <c r="L18" s="1161"/>
      <c r="M18" s="1161"/>
      <c r="N18" s="1637"/>
      <c r="O18" s="506"/>
      <c r="P18" s="506"/>
      <c r="Q18" s="513">
        <v>1</v>
      </c>
    </row>
    <row customHeight="1" ht="22.5" hidden="1">
      <c r="A19" s="1161" t="s">
        <v>83</v>
      </c>
      <c r="B19" s="1166">
        <v>0</v>
      </c>
      <c r="C19" s="1161">
        <v>0</v>
      </c>
      <c r="D19" s="457">
        <v>3</v>
      </c>
      <c r="E19" s="1161">
        <v>6</v>
      </c>
      <c r="F19" s="1161">
        <v>27</v>
      </c>
      <c r="G19" s="1161">
        <v>29</v>
      </c>
      <c r="H19" s="1161">
        <v>25</v>
      </c>
      <c r="I19" s="1161">
        <v>5</v>
      </c>
      <c r="J19" s="1161">
        <v>6</v>
      </c>
      <c r="K19" s="1161">
        <v>41</v>
      </c>
      <c r="L19" s="1161">
        <v>42</v>
      </c>
      <c r="M19" s="1161">
        <v>41</v>
      </c>
      <c r="N19" s="1637">
        <v>89</v>
      </c>
      <c r="O19" s="506">
        <v>3</v>
      </c>
      <c r="P19" s="506">
        <v>8</v>
      </c>
      <c r="Q19" s="1161">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EF289E-85E2-C7EF-CFC8-4B144797D657}"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4" width="9.140625" hidden="1"/>
    <col min="2" max="2" style="1829" width="9.140625" hidden="1"/>
    <col min="3" max="3" style="126" width="3.00390625" customWidth="1"/>
    <col min="4" max="4" style="1829" width="6.00390625" customWidth="1"/>
    <col min="5" max="5" style="1829" width="22.00390625" customWidth="1"/>
    <col min="6" max="6" style="1829" width="15.00390625" customWidth="1"/>
    <col min="7" max="7" style="1829" width="14.00390625" customWidth="1"/>
    <col min="8" max="8" style="1829" width="47.00390625" customWidth="1"/>
    <col min="9" max="9" style="1829" width="115.00390625" customWidth="1"/>
    <col min="10" max="10" style="1829" width="3.00390625" customWidth="1"/>
    <col min="11" max="12" style="1829" width="8.00390625" customWidth="1"/>
    <col min="13" max="13" style="1829" width="9.140625" hidden="1"/>
  </cols>
  <sheetData>
    <row customHeight="1" ht="14.25" hidden="1">
      <c r="M1" s="127" t="s">
        <v>14</v>
      </c>
    </row>
    <row customHeight="1" ht="14.25" hidden="1">
      <c r="M2" s="127">
        <v>0</v>
      </c>
    </row>
    <row customHeight="1" ht="14.25" hidden="1">
      <c r="M3" s="127">
        <v>0</v>
      </c>
    </row>
    <row customHeight="1" ht="3">
      <c r="M4" s="127">
        <v>3</v>
      </c>
    </row>
    <row s="1641" customFormat="1" customHeight="1" ht="31.5">
      <c r="A5" s="121"/>
      <c r="C5" s="96"/>
      <c r="D5" s="2106" t="s">
        <v>1929</v>
      </c>
      <c r="E5" s="2106"/>
      <c r="F5" s="2106"/>
      <c r="G5" s="2106"/>
      <c r="H5" s="2106"/>
      <c r="I5" s="271"/>
      <c r="M5" s="89">
        <v>30</v>
      </c>
    </row>
    <row customHeight="1" ht="3" hidden="1">
      <c r="D6" s="128"/>
      <c r="E6" s="128"/>
      <c r="F6" s="128"/>
      <c r="G6" s="128"/>
      <c r="H6" s="128"/>
      <c r="I6" s="128"/>
      <c r="M6" s="127">
        <v>0</v>
      </c>
    </row>
    <row s="364" customFormat="1" customHeight="1" ht="14.699999999999998">
      <c r="B7" s="125"/>
      <c r="C7" s="126"/>
      <c r="D7" s="129"/>
      <c r="E7" s="129"/>
      <c r="F7" s="129"/>
      <c r="G7" s="129"/>
      <c r="H7" s="758"/>
      <c r="I7" s="129"/>
      <c r="J7" s="130"/>
      <c r="M7" s="124">
        <v>14</v>
      </c>
    </row>
    <row customHeight="1" ht="14.699999999999998">
      <c r="D8" s="2215" t="s">
        <v>316</v>
      </c>
      <c r="E8" s="2215"/>
      <c r="F8" s="2215"/>
      <c r="G8" s="2215"/>
      <c r="H8" s="2215"/>
      <c r="I8" s="2215" t="s">
        <v>317</v>
      </c>
      <c r="M8" s="127">
        <v>14</v>
      </c>
    </row>
    <row customHeight="1" ht="29.25">
      <c r="D9" s="2215" t="s">
        <v>89</v>
      </c>
      <c r="E9" s="2215" t="s">
        <v>1930</v>
      </c>
      <c r="F9" s="2215"/>
      <c r="G9" s="2215"/>
      <c r="H9" s="2215"/>
      <c r="I9" s="2215"/>
      <c r="M9" s="127">
        <v>28</v>
      </c>
    </row>
    <row customHeight="1" ht="24">
      <c r="D10" s="2215"/>
      <c r="E10" s="133" t="s">
        <v>1931</v>
      </c>
      <c r="F10" s="133" t="s">
        <v>1932</v>
      </c>
      <c r="G10" s="133" t="s">
        <v>1933</v>
      </c>
      <c r="H10" s="133" t="s">
        <v>406</v>
      </c>
      <c r="I10" s="2215"/>
      <c r="M10" s="127">
        <v>23</v>
      </c>
    </row>
    <row customHeight="1" ht="12" hidden="1">
      <c r="D11" s="93" t="s">
        <v>111</v>
      </c>
      <c r="E11" s="93" t="s">
        <v>92</v>
      </c>
      <c r="F11" s="93" t="s">
        <v>113</v>
      </c>
      <c r="G11" s="93" t="s">
        <v>93</v>
      </c>
      <c r="H11" s="93" t="s">
        <v>94</v>
      </c>
      <c r="I11" s="93" t="s">
        <v>114</v>
      </c>
      <c r="M11" s="127">
        <v>0</v>
      </c>
    </row>
    <row s="1829" customFormat="1" customHeight="1" ht="26.25">
      <c r="A12" s="151" t="s">
        <v>91</v>
      </c>
      <c r="B12" s="131" t="s">
        <v>28</v>
      </c>
      <c r="C12" s="132"/>
      <c r="D12" s="134" t="s">
        <v>111</v>
      </c>
      <c r="E12" s="387"/>
      <c r="F12" s="387"/>
      <c r="G12" s="1740" t="s">
        <v>28</v>
      </c>
      <c r="H12" s="388"/>
      <c r="I12" s="2175" t="s">
        <v>1934</v>
      </c>
      <c r="K12" s="278"/>
      <c r="L12" s="279"/>
      <c r="M12" s="123">
        <v>25</v>
      </c>
    </row>
    <row customHeight="1" ht="15.75">
      <c r="A13" s="127"/>
      <c r="B13" s="127"/>
      <c r="C13" s="127"/>
      <c r="D13" s="115"/>
      <c r="E13" s="136" t="s">
        <v>481</v>
      </c>
      <c r="F13" s="135"/>
      <c r="G13" s="135"/>
      <c r="H13" s="220"/>
      <c r="I13" s="2177"/>
      <c r="M13" s="127">
        <v>15</v>
      </c>
    </row>
    <row customHeight="1" ht="3">
      <c r="A14" s="127"/>
      <c r="B14" s="127"/>
      <c r="C14" s="127"/>
      <c r="M14" s="127">
        <v>3</v>
      </c>
    </row>
    <row customHeight="1" ht="29.25">
      <c r="E15" s="2502" t="s">
        <v>1935</v>
      </c>
      <c r="F15" s="2502"/>
      <c r="G15" s="2502"/>
      <c r="H15" s="2502"/>
      <c r="M15" s="127">
        <v>28</v>
      </c>
    </row>
    <row customHeight="1" ht="14.25" hidden="1">
      <c r="A16" s="124" t="s">
        <v>83</v>
      </c>
      <c r="B16" s="125">
        <v>0</v>
      </c>
      <c r="C16" s="126">
        <v>3</v>
      </c>
      <c r="D16" s="127">
        <v>6</v>
      </c>
      <c r="E16" s="127">
        <v>22</v>
      </c>
      <c r="F16" s="127">
        <v>15</v>
      </c>
      <c r="G16" s="127">
        <v>14</v>
      </c>
      <c r="H16" s="127">
        <v>47</v>
      </c>
      <c r="I16" s="127">
        <v>115</v>
      </c>
      <c r="J16" s="127">
        <v>3</v>
      </c>
      <c r="K16" s="127">
        <v>8</v>
      </c>
      <c r="L16" s="127">
        <v>8</v>
      </c>
      <c r="M16" s="127">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5AD684-0787-B259-DC11-B1335F9F6223}"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9" style="270" width="8.00390625" customWidth="1"/>
    <col min="10" max="10" style="270" width="9.140625" hidden="1"/>
  </cols>
  <sheetData>
    <row customHeight="1" ht="14.25" hidden="1">
      <c r="J1" s="75" t="s">
        <v>14</v>
      </c>
    </row>
    <row customHeight="1" ht="14.25" hidden="1">
      <c r="J2" s="75">
        <v>0</v>
      </c>
    </row>
    <row customHeight="1" ht="14.25" hidden="1">
      <c r="J3" s="75">
        <v>0</v>
      </c>
    </row>
    <row customHeight="1" ht="14.25" hidden="1">
      <c r="J4" s="75">
        <v>0</v>
      </c>
    </row>
    <row customHeight="1" ht="14.25" hidden="1">
      <c r="J5" s="75">
        <v>0</v>
      </c>
    </row>
    <row customHeight="1" ht="3">
      <c r="C6" s="98"/>
      <c r="D6" s="76"/>
      <c r="E6" s="76"/>
      <c r="J6" s="75">
        <v>3</v>
      </c>
    </row>
    <row customHeight="1" ht="23.25">
      <c r="C7" s="98"/>
      <c r="D7" s="2503" t="s">
        <v>1936</v>
      </c>
      <c r="E7" s="2504"/>
      <c r="F7" s="273"/>
      <c r="J7" s="75">
        <v>22</v>
      </c>
    </row>
    <row customHeight="1" ht="3">
      <c r="C8" s="98"/>
      <c r="D8" s="76"/>
      <c r="E8" s="76"/>
      <c r="J8" s="75">
        <v>3</v>
      </c>
    </row>
    <row customHeight="1" ht="16.8">
      <c r="C9" s="98"/>
      <c r="D9" s="111" t="s">
        <v>89</v>
      </c>
      <c r="E9" s="266" t="s">
        <v>1937</v>
      </c>
      <c r="J9" s="75">
        <v>16</v>
      </c>
    </row>
    <row customHeight="1" ht="1.05">
      <c r="C10" s="98"/>
      <c r="D10" s="93"/>
      <c r="E10" s="93"/>
      <c r="J10" s="75">
        <v>1</v>
      </c>
    </row>
    <row customHeight="1" ht="11.25" hidden="1">
      <c r="C11" s="98"/>
      <c r="D11" s="156">
        <v>0</v>
      </c>
      <c r="E11" s="267"/>
      <c r="J11" s="75">
        <v>0</v>
      </c>
    </row>
    <row customHeight="1" ht="15.75">
      <c r="C12" s="142"/>
      <c r="D12" s="119">
        <v>1</v>
      </c>
      <c r="E12" s="383"/>
      <c r="J12" s="75">
        <v>15</v>
      </c>
    </row>
    <row customHeight="1" ht="12.75">
      <c r="C13" s="98"/>
      <c r="D13" s="268"/>
      <c r="E13" s="269" t="s">
        <v>1938</v>
      </c>
      <c r="J13" s="75">
        <v>12</v>
      </c>
    </row>
    <row customHeight="1" ht="3">
      <c r="J14" s="75">
        <v>3</v>
      </c>
    </row>
    <row customHeight="1" ht="23.25">
      <c r="C15" s="143"/>
      <c r="D15" s="2505" t="s">
        <v>1939</v>
      </c>
      <c r="E15" s="2505"/>
      <c r="F15" s="144"/>
      <c r="G15" s="144"/>
      <c r="H15" s="144"/>
      <c r="I15" s="144"/>
      <c r="J15" s="75">
        <v>22</v>
      </c>
    </row>
    <row customHeight="1" ht="14.25" hidden="1">
      <c r="A16" s="75" t="s">
        <v>83</v>
      </c>
      <c r="B16" s="75">
        <v>0</v>
      </c>
      <c r="C16" s="97">
        <v>3</v>
      </c>
      <c r="D16" s="75">
        <v>6</v>
      </c>
      <c r="E16" s="75">
        <v>94</v>
      </c>
      <c r="F16" s="75">
        <v>8</v>
      </c>
      <c r="G16" s="75">
        <v>8</v>
      </c>
      <c r="H16" s="75">
        <v>8</v>
      </c>
      <c r="I16" s="75">
        <v>8</v>
      </c>
      <c r="J16" s="75">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6A751B-0767-C07C-0B6F-3433601387F3}"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12" style="270" width="8.00390625" customWidth="1"/>
    <col min="13" max="13" style="270" width="9.140625" hidden="1"/>
  </cols>
  <sheetData>
    <row customHeight="1" ht="14.25" hidden="1">
      <c r="L1" s="270"/>
      <c r="M1" s="75" t="s">
        <v>14</v>
      </c>
    </row>
    <row customHeight="1" ht="14.25" hidden="1">
      <c r="M2" s="75">
        <v>0</v>
      </c>
    </row>
    <row customHeight="1" ht="14.25" hidden="1">
      <c r="M3" s="75">
        <v>0</v>
      </c>
    </row>
    <row customHeight="1" ht="14.25" hidden="1">
      <c r="M4" s="75">
        <v>0</v>
      </c>
    </row>
    <row customHeight="1" ht="14.25" hidden="1">
      <c r="M5" s="75">
        <v>0</v>
      </c>
    </row>
    <row customHeight="1" ht="3">
      <c r="C6" s="98"/>
      <c r="D6" s="76"/>
      <c r="E6" s="76"/>
      <c r="M6" s="75">
        <v>3</v>
      </c>
    </row>
    <row customHeight="1" ht="23.25">
      <c r="C7" s="98"/>
      <c r="D7" s="2106" t="s">
        <v>1940</v>
      </c>
      <c r="E7" s="2106"/>
      <c r="F7" s="273"/>
      <c r="M7" s="75">
        <v>22</v>
      </c>
    </row>
    <row customHeight="1" ht="3">
      <c r="C8" s="98"/>
      <c r="D8" s="76"/>
      <c r="E8" s="76"/>
      <c r="M8" s="75">
        <v>3</v>
      </c>
    </row>
    <row customHeight="1" ht="16.8">
      <c r="C9" s="98"/>
      <c r="D9" s="111" t="s">
        <v>89</v>
      </c>
      <c r="E9" s="114" t="s">
        <v>303</v>
      </c>
      <c r="M9" s="75">
        <v>16</v>
      </c>
    </row>
    <row customHeight="1" ht="12.75">
      <c r="C10" s="98"/>
      <c r="D10" s="93" t="s">
        <v>111</v>
      </c>
      <c r="E10" s="93" t="s">
        <v>112</v>
      </c>
      <c r="M10" s="75">
        <v>12</v>
      </c>
    </row>
    <row customHeight="1" ht="15" hidden="1">
      <c r="C11" s="98"/>
      <c r="D11" s="119">
        <v>0</v>
      </c>
      <c r="E11" s="155"/>
      <c r="M11" s="75">
        <v>0</v>
      </c>
    </row>
    <row customHeight="1" ht="14.699999999999998">
      <c r="C12" s="98"/>
      <c r="D12" s="115"/>
      <c r="E12" s="113" t="s">
        <v>1938</v>
      </c>
      <c r="M12" s="75">
        <v>14</v>
      </c>
    </row>
    <row customHeight="1" ht="14.25" hidden="1">
      <c r="A13" s="75" t="s">
        <v>83</v>
      </c>
      <c r="B13" s="75">
        <v>0</v>
      </c>
      <c r="C13" s="97">
        <v>3</v>
      </c>
      <c r="D13" s="75">
        <v>6</v>
      </c>
      <c r="E13" s="75">
        <v>94</v>
      </c>
      <c r="F13" s="75">
        <v>8</v>
      </c>
      <c r="G13" s="75">
        <v>8</v>
      </c>
      <c r="H13" s="75">
        <v>8</v>
      </c>
      <c r="I13" s="75">
        <v>8</v>
      </c>
      <c r="J13" s="75">
        <v>8</v>
      </c>
      <c r="K13" s="75">
        <v>8</v>
      </c>
      <c r="L13" s="75">
        <v>8</v>
      </c>
      <c r="M13" s="75">
        <v>14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49413E-0172-63A2-2D5C-65FFA17A673B}"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6" width="9.140625" hidden="1"/>
    <col min="3" max="4" style="1856" width="3.00390625" customWidth="1"/>
    <col min="5" max="6" style="1856" width="15.00390625" customWidth="1"/>
    <col min="7" max="7" style="1856" width="11.57421875" customWidth="1"/>
    <col min="8" max="9" style="1856" width="3.00390625" customWidth="1"/>
    <col min="10" max="10" style="1856" width="12.00390625" customWidth="1"/>
    <col min="11" max="11" style="1856" width="0.28125" customWidth="1"/>
    <col min="12" max="13" style="1856" width="10.00390625" customWidth="1"/>
    <col min="14" max="15" style="1856" width="3.00390625" customWidth="1"/>
    <col min="16" max="16" style="1856" width="19.00390625" customWidth="1"/>
    <col min="17" max="17" style="1856" width="0.28125" customWidth="1"/>
    <col min="18" max="19" style="1856" width="10.00390625" customWidth="1"/>
    <col min="20" max="21" style="1856" width="3.00390625" customWidth="1"/>
    <col min="22" max="22" style="1856" width="25.00390625" customWidth="1"/>
    <col min="23" max="23" style="1856" width="0.28125" customWidth="1"/>
    <col min="24" max="25" style="1856" width="10.00390625" customWidth="1"/>
    <col min="26" max="27" style="1856" width="3.00390625" customWidth="1"/>
    <col min="28" max="28" style="1856" width="16.00390625" customWidth="1"/>
    <col min="29" max="29" style="1856" width="0.28125" customWidth="1"/>
    <col min="30" max="31" style="1856" width="10.00390625" customWidth="1"/>
    <col min="32" max="33" style="1856" width="3.00390625" customWidth="1"/>
    <col min="34" max="34" style="1856" width="8.00390625" customWidth="1"/>
    <col min="35" max="35" style="1856" width="21.00390625" customWidth="1"/>
    <col min="36" max="36" style="1856" width="8.00390625" customWidth="1"/>
    <col min="37" max="37" style="364" width="8.00390625" customWidth="1"/>
    <col min="38" max="64" style="1856" width="8.00390625" customWidth="1"/>
    <col min="65" max="65" style="1856" width="9.140625" hidden="1"/>
  </cols>
  <sheetData>
    <row s="1322" customFormat="1" customHeight="1" ht="11.25" hidden="1">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5" t="s">
        <v>14</v>
      </c>
    </row>
    <row s="1559" customFormat="1" customHeight="1" ht="11.25" hidden="1">
      <c r="L2" s="1559" t="s">
        <v>295</v>
      </c>
      <c r="M2" s="1559" t="s">
        <v>296</v>
      </c>
      <c r="R2" s="1559" t="s">
        <v>297</v>
      </c>
      <c r="S2" s="1559" t="s">
        <v>296</v>
      </c>
      <c r="X2" s="1559" t="s">
        <v>295</v>
      </c>
      <c r="Y2" s="1559" t="s">
        <v>296</v>
      </c>
      <c r="AD2" s="1559" t="s">
        <v>295</v>
      </c>
      <c r="AE2" s="1559" t="s">
        <v>296</v>
      </c>
      <c r="AJ2" s="1581"/>
      <c r="AK2" s="1581"/>
      <c r="AL2" s="1581"/>
      <c r="AM2" s="1581"/>
      <c r="AN2" s="1581"/>
      <c r="AO2" s="1581"/>
      <c r="AP2" s="1581"/>
      <c r="AQ2" s="1581"/>
      <c r="AR2" s="1581"/>
      <c r="AS2" s="1581"/>
      <c r="AT2" s="1581"/>
      <c r="AU2" s="1581"/>
      <c r="AV2" s="1581"/>
      <c r="AW2" s="1581"/>
      <c r="AX2" s="1581"/>
      <c r="AY2" s="1581"/>
      <c r="AZ2" s="1581"/>
      <c r="BA2" s="1581"/>
      <c r="BB2" s="1581"/>
      <c r="BC2" s="1581"/>
      <c r="BD2" s="1581"/>
      <c r="BE2" s="1581"/>
      <c r="BF2" s="1581"/>
      <c r="BG2" s="1581"/>
      <c r="BH2" s="1581"/>
      <c r="BI2" s="1581"/>
      <c r="BJ2" s="1581"/>
      <c r="BK2" s="1581"/>
      <c r="BL2" s="1581"/>
      <c r="BM2" s="1559">
        <v>0</v>
      </c>
    </row>
    <row s="1560" customFormat="1" customHeight="1" ht="11.549999999999999">
      <c r="AJ3" s="1580"/>
      <c r="AK3" s="312"/>
      <c r="AL3" s="1580"/>
      <c r="AM3" s="1580"/>
      <c r="AN3" s="1580"/>
      <c r="AO3" s="1580"/>
      <c r="AP3" s="1580"/>
      <c r="AQ3" s="1580"/>
      <c r="AR3" s="1580"/>
      <c r="AS3" s="1580"/>
      <c r="AT3" s="1580"/>
      <c r="AU3" s="1580"/>
      <c r="AV3" s="1580"/>
      <c r="AW3" s="1580"/>
      <c r="AX3" s="1580"/>
      <c r="AY3" s="1580"/>
      <c r="AZ3" s="1580"/>
      <c r="BA3" s="1580"/>
      <c r="BB3" s="1580"/>
      <c r="BC3" s="1580"/>
      <c r="BD3" s="1580"/>
      <c r="BE3" s="1580"/>
      <c r="BF3" s="1580"/>
      <c r="BG3" s="1580"/>
      <c r="BH3" s="1580"/>
      <c r="BI3" s="1580"/>
      <c r="BJ3" s="1580"/>
      <c r="BK3" s="1580"/>
      <c r="BL3" s="1580"/>
      <c r="BM3" s="1560">
        <v>11</v>
      </c>
    </row>
    <row s="1825" customFormat="1" customHeight="1" ht="34.5">
      <c r="A4" s="1162"/>
      <c r="B4" s="1161"/>
      <c r="C4" s="1521"/>
      <c r="D4" s="2197" t="s">
        <v>298</v>
      </c>
      <c r="E4" s="2197"/>
      <c r="F4" s="2197"/>
      <c r="G4" s="2197"/>
      <c r="H4" s="2197"/>
      <c r="I4" s="2197"/>
      <c r="J4" s="2197"/>
      <c r="K4" s="705"/>
      <c r="T4" s="1561"/>
      <c r="AJ4" s="1582"/>
      <c r="AK4" s="1583"/>
      <c r="AL4" s="1582"/>
      <c r="AM4" s="1582"/>
      <c r="AN4" s="1582"/>
      <c r="AO4" s="1582"/>
      <c r="AP4" s="1582"/>
      <c r="AQ4" s="1582"/>
      <c r="AR4" s="1582"/>
      <c r="AS4" s="1582"/>
      <c r="AT4" s="1582"/>
      <c r="AU4" s="1582"/>
      <c r="AV4" s="1582"/>
      <c r="AW4" s="1582"/>
      <c r="AX4" s="1582"/>
      <c r="AY4" s="1582"/>
      <c r="AZ4" s="1582"/>
      <c r="BA4" s="1582"/>
      <c r="BB4" s="1582"/>
      <c r="BC4" s="1582"/>
      <c r="BD4" s="1582"/>
      <c r="BE4" s="1582"/>
      <c r="BF4" s="1582"/>
      <c r="BG4" s="1582"/>
      <c r="BH4" s="1582"/>
      <c r="BI4" s="1582"/>
      <c r="BJ4" s="1582"/>
      <c r="BK4" s="1582"/>
      <c r="BL4" s="1582"/>
      <c r="BM4" s="513">
        <v>33</v>
      </c>
    </row>
    <row s="1825" customFormat="1" customHeight="1" ht="14.699999999999998">
      <c r="A5" s="1638"/>
      <c r="B5" s="1637"/>
      <c r="C5" s="1521"/>
      <c r="D5" s="2182" t="str">
        <f>IF(org=0,"Не определено",org)</f>
        <v>АО «ДГК» СП «Нерюнгринская ГРЭС»</v>
      </c>
      <c r="E5" s="2182"/>
      <c r="F5" s="2182"/>
      <c r="G5" s="2182"/>
      <c r="H5" s="2182"/>
      <c r="I5" s="2182"/>
      <c r="J5" s="2182"/>
      <c r="K5" s="705"/>
      <c r="T5" s="1561"/>
      <c r="AJ5" s="1582"/>
      <c r="AK5" s="1583"/>
      <c r="AL5" s="1582"/>
      <c r="AM5" s="1582"/>
      <c r="AN5" s="1582"/>
      <c r="AO5" s="1582"/>
      <c r="AP5" s="1582"/>
      <c r="AQ5" s="1582"/>
      <c r="AR5" s="1582"/>
      <c r="AS5" s="1582"/>
      <c r="AT5" s="1582"/>
      <c r="AU5" s="1582"/>
      <c r="AV5" s="1582"/>
      <c r="AW5" s="1582"/>
      <c r="AX5" s="1582"/>
      <c r="AY5" s="1582"/>
      <c r="AZ5" s="1582"/>
      <c r="BA5" s="1582"/>
      <c r="BB5" s="1582"/>
      <c r="BC5" s="1582"/>
      <c r="BD5" s="1582"/>
      <c r="BE5" s="1582"/>
      <c r="BF5" s="1582"/>
      <c r="BG5" s="1582"/>
      <c r="BH5" s="1582"/>
      <c r="BI5" s="1582"/>
      <c r="BJ5" s="1582"/>
      <c r="BK5" s="1582"/>
      <c r="BL5" s="1582"/>
      <c r="BM5" s="1615">
        <v>14</v>
      </c>
    </row>
    <row s="1825" customFormat="1" customHeight="1" ht="14.699999999999998">
      <c r="A6" s="1162"/>
      <c r="B6" s="1161"/>
      <c r="C6" s="1521"/>
      <c r="D6" s="705"/>
      <c r="E6" s="705"/>
      <c r="F6" s="705"/>
      <c r="G6" s="705"/>
      <c r="H6" s="705"/>
      <c r="I6" s="705"/>
      <c r="J6" s="705"/>
      <c r="K6" s="705"/>
      <c r="T6" s="1561"/>
      <c r="AJ6" s="1582"/>
      <c r="AK6" s="1583"/>
      <c r="AL6" s="1582"/>
      <c r="AM6" s="1582"/>
      <c r="AN6" s="1582"/>
      <c r="AO6" s="1582"/>
      <c r="AP6" s="1582"/>
      <c r="AQ6" s="1582"/>
      <c r="AR6" s="1582"/>
      <c r="AS6" s="1582"/>
      <c r="AT6" s="1582"/>
      <c r="AU6" s="1582"/>
      <c r="AV6" s="1582"/>
      <c r="AW6" s="1582"/>
      <c r="AX6" s="1582"/>
      <c r="AY6" s="1582"/>
      <c r="AZ6" s="1582"/>
      <c r="BA6" s="1582"/>
      <c r="BB6" s="1582"/>
      <c r="BC6" s="1582"/>
      <c r="BD6" s="1582"/>
      <c r="BE6" s="1582"/>
      <c r="BF6" s="1582"/>
      <c r="BG6" s="1582"/>
      <c r="BH6" s="1582"/>
      <c r="BI6" s="1582"/>
      <c r="BJ6" s="1582"/>
      <c r="BK6" s="1582"/>
      <c r="BL6" s="1582"/>
      <c r="BM6" s="513">
        <v>14</v>
      </c>
    </row>
    <row s="1322" customFormat="1" customHeight="1" ht="1.05">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5">
        <v>1</v>
      </c>
    </row>
    <row customHeight="1" ht="33.75">
      <c r="D8" s="2133" t="s">
        <v>89</v>
      </c>
      <c r="E8" s="2133" t="s">
        <v>107</v>
      </c>
      <c r="F8" s="2198" t="s">
        <v>124</v>
      </c>
      <c r="G8" s="2199"/>
      <c r="H8" s="2198" t="s">
        <v>89</v>
      </c>
      <c r="I8" s="2199"/>
      <c r="J8" s="2133" t="s">
        <v>125</v>
      </c>
      <c r="K8" s="1562"/>
      <c r="L8" s="2202" t="s">
        <v>299</v>
      </c>
      <c r="M8" s="2202"/>
      <c r="N8" s="2202"/>
      <c r="O8" s="2202"/>
      <c r="P8" s="2202"/>
      <c r="Q8" s="1563"/>
      <c r="R8" s="2102" t="s">
        <v>300</v>
      </c>
      <c r="S8" s="2203"/>
      <c r="T8" s="2203"/>
      <c r="U8" s="2203"/>
      <c r="V8" s="2203"/>
      <c r="W8" s="1563"/>
      <c r="X8" s="2204" t="s">
        <v>301</v>
      </c>
      <c r="Y8" s="2204"/>
      <c r="Z8" s="2204"/>
      <c r="AA8" s="2204"/>
      <c r="AB8" s="2204"/>
      <c r="AC8" s="1564"/>
      <c r="AD8" s="2133" t="s">
        <v>302</v>
      </c>
      <c r="AE8" s="2133"/>
      <c r="AF8" s="2133"/>
      <c r="AG8" s="2133"/>
      <c r="AH8" s="2107"/>
      <c r="AI8" s="2133" t="s">
        <v>303</v>
      </c>
      <c r="AJ8" s="1580"/>
      <c r="BM8" s="299">
        <v>32</v>
      </c>
    </row>
    <row customHeight="1" ht="23.25">
      <c r="D9" s="2133"/>
      <c r="E9" s="2133"/>
      <c r="F9" s="2181" t="s">
        <v>90</v>
      </c>
      <c r="G9" s="2181" t="s">
        <v>130</v>
      </c>
      <c r="H9" s="2200"/>
      <c r="I9" s="2201"/>
      <c r="J9" s="2107"/>
      <c r="K9" s="1565"/>
      <c r="L9" s="2133" t="s">
        <v>304</v>
      </c>
      <c r="M9" s="2107"/>
      <c r="N9" s="2198" t="s">
        <v>89</v>
      </c>
      <c r="O9" s="2199"/>
      <c r="P9" s="2133" t="s">
        <v>131</v>
      </c>
      <c r="Q9" s="1562"/>
      <c r="R9" s="2133" t="s">
        <v>304</v>
      </c>
      <c r="S9" s="2107"/>
      <c r="T9" s="2198" t="s">
        <v>89</v>
      </c>
      <c r="U9" s="2199"/>
      <c r="V9" s="2133" t="s">
        <v>131</v>
      </c>
      <c r="W9" s="1562"/>
      <c r="X9" s="2133" t="s">
        <v>304</v>
      </c>
      <c r="Y9" s="2107"/>
      <c r="Z9" s="2198" t="s">
        <v>89</v>
      </c>
      <c r="AA9" s="2199"/>
      <c r="AB9" s="2133" t="s">
        <v>305</v>
      </c>
      <c r="AC9" s="1562"/>
      <c r="AD9" s="2133" t="s">
        <v>304</v>
      </c>
      <c r="AE9" s="2107"/>
      <c r="AF9" s="2198" t="s">
        <v>89</v>
      </c>
      <c r="AG9" s="2199"/>
      <c r="AH9" s="2107" t="s">
        <v>305</v>
      </c>
      <c r="AI9" s="2133"/>
      <c r="AJ9" s="1580"/>
      <c r="BM9" s="299">
        <v>22</v>
      </c>
    </row>
    <row customHeight="1" ht="24">
      <c r="D10" s="2181"/>
      <c r="E10" s="2181"/>
      <c r="F10" s="2205"/>
      <c r="G10" s="2205"/>
      <c r="H10" s="2206"/>
      <c r="I10" s="2207"/>
      <c r="J10" s="2198"/>
      <c r="K10" s="1565"/>
      <c r="L10" s="1584" t="s">
        <v>306</v>
      </c>
      <c r="M10" s="1579" t="s">
        <v>307</v>
      </c>
      <c r="N10" s="2200"/>
      <c r="O10" s="2201"/>
      <c r="P10" s="2181"/>
      <c r="Q10" s="1562"/>
      <c r="R10" s="1584" t="s">
        <v>306</v>
      </c>
      <c r="S10" s="1579" t="s">
        <v>307</v>
      </c>
      <c r="T10" s="2200"/>
      <c r="U10" s="2201"/>
      <c r="V10" s="2181"/>
      <c r="W10" s="1562"/>
      <c r="X10" s="1584" t="s">
        <v>306</v>
      </c>
      <c r="Y10" s="1579" t="s">
        <v>307</v>
      </c>
      <c r="Z10" s="2200"/>
      <c r="AA10" s="2201"/>
      <c r="AB10" s="2181"/>
      <c r="AC10" s="1562"/>
      <c r="AD10" s="1584" t="s">
        <v>306</v>
      </c>
      <c r="AE10" s="1579" t="s">
        <v>307</v>
      </c>
      <c r="AF10" s="2200"/>
      <c r="AG10" s="2201"/>
      <c r="AH10" s="2198"/>
      <c r="AI10" s="2181"/>
      <c r="AJ10" s="1580"/>
      <c r="AK10" s="260" t="s">
        <v>308</v>
      </c>
      <c r="AL10" s="260" t="s">
        <v>132</v>
      </c>
      <c r="BM10" s="299">
        <v>23</v>
      </c>
    </row>
    <row customHeight="1" ht="15">
      <c r="D11" s="2189" t="s">
        <v>111</v>
      </c>
      <c r="E11" s="2185" t="s">
        <v>309</v>
      </c>
      <c r="F11" s="2185" t="s">
        <v>310</v>
      </c>
      <c r="G11" s="2191" t="s">
        <v>19</v>
      </c>
      <c r="H11" s="1605"/>
      <c r="I11" s="2187"/>
      <c r="J11" s="2158"/>
      <c r="K11" s="1520"/>
      <c r="L11" s="2143"/>
      <c r="M11" s="2143"/>
      <c r="N11" s="1590"/>
      <c r="O11" s="2143"/>
      <c r="P11" s="2158"/>
      <c r="Q11" s="1591"/>
      <c r="R11" s="2143"/>
      <c r="S11" s="2143"/>
      <c r="T11" s="1592"/>
      <c r="U11" s="2143"/>
      <c r="V11" s="2158"/>
      <c r="W11" s="1593"/>
      <c r="X11" s="2143"/>
      <c r="Y11" s="2143"/>
      <c r="Z11" s="1590"/>
      <c r="AA11" s="2143"/>
      <c r="AB11" s="2158"/>
      <c r="AC11" s="1594"/>
      <c r="AD11" s="2143"/>
      <c r="AE11" s="2143"/>
      <c r="AF11" s="1519"/>
      <c r="AG11" s="1519"/>
      <c r="AH11" s="1595"/>
      <c r="AI11" s="1302"/>
      <c r="AJ11" s="1580"/>
      <c r="BM11" s="299">
        <v>14</v>
      </c>
    </row>
    <row customHeight="1" ht="14.699999999999998">
      <c r="D12" s="2189"/>
      <c r="E12" s="2185"/>
      <c r="F12" s="2185"/>
      <c r="G12" s="2192"/>
      <c r="H12" s="1606"/>
      <c r="I12" s="2188"/>
      <c r="J12" s="2159"/>
      <c r="K12" s="1616"/>
      <c r="L12" s="2144"/>
      <c r="M12" s="2144"/>
      <c r="N12" s="1596"/>
      <c r="O12" s="2144"/>
      <c r="P12" s="2159"/>
      <c r="Q12" s="1597"/>
      <c r="R12" s="2144"/>
      <c r="S12" s="2144"/>
      <c r="T12" s="1598"/>
      <c r="U12" s="2144"/>
      <c r="V12" s="2159"/>
      <c r="W12" s="1599"/>
      <c r="X12" s="2144"/>
      <c r="Y12" s="2144"/>
      <c r="Z12" s="1596"/>
      <c r="AA12" s="2144"/>
      <c r="AB12" s="2159"/>
      <c r="AC12" s="1600"/>
      <c r="AD12" s="2144"/>
      <c r="AE12" s="2144"/>
      <c r="AF12" s="1601"/>
      <c r="AG12" s="1601"/>
      <c r="AH12" s="2183"/>
      <c r="AI12" s="2184"/>
      <c r="AJ12" s="1580"/>
      <c r="BM12" s="299">
        <v>14</v>
      </c>
    </row>
    <row customHeight="1" ht="14.699999999999998">
      <c r="D13" s="2189"/>
      <c r="E13" s="2185"/>
      <c r="F13" s="2185"/>
      <c r="G13" s="2192"/>
      <c r="H13" s="1606"/>
      <c r="I13" s="2188"/>
      <c r="J13" s="2159"/>
      <c r="K13" s="1616"/>
      <c r="L13" s="2144"/>
      <c r="M13" s="2144"/>
      <c r="N13" s="1596"/>
      <c r="O13" s="2144"/>
      <c r="P13" s="2159"/>
      <c r="Q13" s="1597"/>
      <c r="R13" s="2144"/>
      <c r="S13" s="2144"/>
      <c r="T13" s="1598"/>
      <c r="U13" s="2144"/>
      <c r="V13" s="2159"/>
      <c r="W13" s="1599"/>
      <c r="X13" s="2144"/>
      <c r="Y13" s="2144"/>
      <c r="Z13" s="1518"/>
      <c r="AA13" s="1601"/>
      <c r="AB13" s="2183"/>
      <c r="AC13" s="2183"/>
      <c r="AD13" s="2183"/>
      <c r="AE13" s="2183"/>
      <c r="AF13" s="2183"/>
      <c r="AG13" s="2183"/>
      <c r="AH13" s="2183"/>
      <c r="AI13" s="2184"/>
      <c r="AJ13" s="1580"/>
      <c r="BM13" s="299">
        <v>14</v>
      </c>
    </row>
    <row customHeight="1" ht="14.699999999999998">
      <c r="D14" s="2189"/>
      <c r="E14" s="2185"/>
      <c r="F14" s="2185"/>
      <c r="G14" s="2192"/>
      <c r="H14" s="1606"/>
      <c r="I14" s="2188"/>
      <c r="J14" s="2159"/>
      <c r="K14" s="1616"/>
      <c r="L14" s="2144"/>
      <c r="M14" s="2144"/>
      <c r="N14" s="1596"/>
      <c r="O14" s="2144"/>
      <c r="P14" s="2159"/>
      <c r="Q14" s="1597"/>
      <c r="R14" s="2144"/>
      <c r="S14" s="2144"/>
      <c r="T14" s="1602"/>
      <c r="U14" s="1603"/>
      <c r="V14" s="2183"/>
      <c r="W14" s="2183"/>
      <c r="X14" s="2183"/>
      <c r="Y14" s="2183"/>
      <c r="Z14" s="2183"/>
      <c r="AA14" s="2183"/>
      <c r="AB14" s="2183"/>
      <c r="AC14" s="2183"/>
      <c r="AD14" s="2183"/>
      <c r="AE14" s="2183"/>
      <c r="AF14" s="2183"/>
      <c r="AG14" s="2183"/>
      <c r="AH14" s="2183"/>
      <c r="AI14" s="2184"/>
      <c r="AJ14" s="1580"/>
      <c r="BM14" s="299">
        <v>14</v>
      </c>
    </row>
    <row customHeight="1" ht="11.549999999999999">
      <c r="D15" s="2189"/>
      <c r="E15" s="2185"/>
      <c r="F15" s="2185"/>
      <c r="G15" s="2192"/>
      <c r="H15" s="1607"/>
      <c r="I15" s="2188"/>
      <c r="J15" s="2159"/>
      <c r="K15" s="1616"/>
      <c r="L15" s="2144"/>
      <c r="M15" s="2144"/>
      <c r="N15" s="1601"/>
      <c r="O15" s="1601"/>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580"/>
      <c r="BM15" s="299">
        <v>11</v>
      </c>
    </row>
    <row s="1560" customFormat="1" customHeight="1" ht="11.549999999999999">
      <c r="D16" s="2195"/>
      <c r="E16" s="2196"/>
      <c r="F16" s="2186"/>
      <c r="G16" s="2118"/>
      <c r="H16" s="1604"/>
      <c r="I16" s="1608"/>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4"/>
      <c r="AJ16" s="1580"/>
      <c r="AK16" s="312"/>
      <c r="AL16" s="1580"/>
      <c r="AM16" s="1580"/>
      <c r="AN16" s="1580"/>
      <c r="AO16" s="1580"/>
      <c r="AP16" s="1580"/>
      <c r="AQ16" s="1580"/>
      <c r="AR16" s="1580"/>
      <c r="AS16" s="1580"/>
      <c r="AT16" s="1580"/>
      <c r="AU16" s="1580"/>
      <c r="AV16" s="1580"/>
      <c r="AW16" s="1580"/>
      <c r="AX16" s="1580"/>
      <c r="AY16" s="1580"/>
      <c r="AZ16" s="1580"/>
      <c r="BA16" s="1580"/>
      <c r="BB16" s="1580"/>
      <c r="BC16" s="1580"/>
      <c r="BD16" s="1580"/>
      <c r="BE16" s="1580"/>
      <c r="BF16" s="1580"/>
      <c r="BG16" s="1580"/>
      <c r="BH16" s="1580"/>
      <c r="BI16" s="1580"/>
      <c r="BJ16" s="1580"/>
      <c r="BK16" s="1580"/>
      <c r="BL16" s="1580"/>
      <c r="BM16" s="1560">
        <v>11</v>
      </c>
    </row>
    <row customHeight="1" ht="15">
      <c r="D17" s="2189" t="s">
        <v>112</v>
      </c>
      <c r="E17" s="2185" t="s">
        <v>309</v>
      </c>
      <c r="F17" s="2185" t="s">
        <v>311</v>
      </c>
      <c r="G17" s="2191" t="s">
        <v>19</v>
      </c>
      <c r="H17" s="1605"/>
      <c r="I17" s="2187"/>
      <c r="J17" s="2158"/>
      <c r="K17" s="1520"/>
      <c r="L17" s="2143"/>
      <c r="M17" s="2143"/>
      <c r="N17" s="1590"/>
      <c r="O17" s="2143"/>
      <c r="P17" s="2158"/>
      <c r="Q17" s="1591"/>
      <c r="R17" s="2143"/>
      <c r="S17" s="2143"/>
      <c r="T17" s="1592"/>
      <c r="U17" s="2143"/>
      <c r="V17" s="2158"/>
      <c r="W17" s="1593"/>
      <c r="X17" s="2143"/>
      <c r="Y17" s="2143"/>
      <c r="Z17" s="1590"/>
      <c r="AA17" s="2143"/>
      <c r="AB17" s="2158"/>
      <c r="AC17" s="1594"/>
      <c r="AD17" s="2143"/>
      <c r="AE17" s="2143"/>
      <c r="AF17" s="1519"/>
      <c r="AG17" s="1519"/>
      <c r="AH17" s="1595"/>
      <c r="AI17" s="1302"/>
      <c r="AJ17" s="1580"/>
      <c r="BM17" s="299">
        <v>14</v>
      </c>
    </row>
    <row customHeight="1" ht="14.699999999999998">
      <c r="D18" s="2189"/>
      <c r="E18" s="2185"/>
      <c r="F18" s="2185"/>
      <c r="G18" s="2192"/>
      <c r="H18" s="1606"/>
      <c r="I18" s="2188"/>
      <c r="J18" s="2159"/>
      <c r="K18" s="1589"/>
      <c r="L18" s="2144"/>
      <c r="M18" s="2144"/>
      <c r="N18" s="1596"/>
      <c r="O18" s="2144"/>
      <c r="P18" s="2159"/>
      <c r="Q18" s="1597"/>
      <c r="R18" s="2144"/>
      <c r="S18" s="2144"/>
      <c r="T18" s="1598"/>
      <c r="U18" s="2144"/>
      <c r="V18" s="2159"/>
      <c r="W18" s="1599"/>
      <c r="X18" s="2144"/>
      <c r="Y18" s="2144"/>
      <c r="Z18" s="1596"/>
      <c r="AA18" s="2144"/>
      <c r="AB18" s="2159"/>
      <c r="AC18" s="1600"/>
      <c r="AD18" s="2144"/>
      <c r="AE18" s="2144"/>
      <c r="AF18" s="1601"/>
      <c r="AG18" s="1601"/>
      <c r="AH18" s="2183"/>
      <c r="AI18" s="2184"/>
      <c r="AJ18" s="1580"/>
      <c r="BM18" s="299">
        <v>14</v>
      </c>
    </row>
    <row customHeight="1" ht="14.699999999999998">
      <c r="D19" s="2189"/>
      <c r="E19" s="2185"/>
      <c r="F19" s="2185"/>
      <c r="G19" s="2192"/>
      <c r="H19" s="1606"/>
      <c r="I19" s="2188"/>
      <c r="J19" s="2159"/>
      <c r="K19" s="1589"/>
      <c r="L19" s="2144"/>
      <c r="M19" s="2144"/>
      <c r="N19" s="1596"/>
      <c r="O19" s="2144"/>
      <c r="P19" s="2159"/>
      <c r="Q19" s="1597"/>
      <c r="R19" s="2144"/>
      <c r="S19" s="2144"/>
      <c r="T19" s="1598"/>
      <c r="U19" s="2144"/>
      <c r="V19" s="2159"/>
      <c r="W19" s="1599"/>
      <c r="X19" s="2144"/>
      <c r="Y19" s="2144"/>
      <c r="Z19" s="1518"/>
      <c r="AA19" s="1601"/>
      <c r="AB19" s="2183"/>
      <c r="AC19" s="2183"/>
      <c r="AD19" s="2183"/>
      <c r="AE19" s="2183"/>
      <c r="AF19" s="2183"/>
      <c r="AG19" s="2183"/>
      <c r="AH19" s="2183"/>
      <c r="AI19" s="2184"/>
      <c r="AJ19" s="1580"/>
      <c r="BM19" s="299">
        <v>14</v>
      </c>
    </row>
    <row customHeight="1" ht="14.699999999999998">
      <c r="D20" s="2189"/>
      <c r="E20" s="2185"/>
      <c r="F20" s="2185"/>
      <c r="G20" s="2192"/>
      <c r="H20" s="1606"/>
      <c r="I20" s="2188"/>
      <c r="J20" s="2159"/>
      <c r="K20" s="1589"/>
      <c r="L20" s="2144"/>
      <c r="M20" s="2144"/>
      <c r="N20" s="1596"/>
      <c r="O20" s="2144"/>
      <c r="P20" s="2159"/>
      <c r="Q20" s="1597"/>
      <c r="R20" s="2144"/>
      <c r="S20" s="2144"/>
      <c r="T20" s="1602"/>
      <c r="U20" s="1603"/>
      <c r="V20" s="2183"/>
      <c r="W20" s="2183"/>
      <c r="X20" s="2183"/>
      <c r="Y20" s="2183"/>
      <c r="Z20" s="2183"/>
      <c r="AA20" s="2183"/>
      <c r="AB20" s="2183"/>
      <c r="AC20" s="2183"/>
      <c r="AD20" s="2183"/>
      <c r="AE20" s="2183"/>
      <c r="AF20" s="2183"/>
      <c r="AG20" s="2183"/>
      <c r="AH20" s="2183"/>
      <c r="AI20" s="2184"/>
      <c r="AJ20" s="1580"/>
      <c r="BM20" s="299">
        <v>14</v>
      </c>
    </row>
    <row customHeight="1" ht="11.549999999999999">
      <c r="D21" s="2189"/>
      <c r="E21" s="2185"/>
      <c r="F21" s="2185"/>
      <c r="G21" s="2192"/>
      <c r="H21" s="1607"/>
      <c r="I21" s="2188"/>
      <c r="J21" s="2159"/>
      <c r="K21" s="1589"/>
      <c r="L21" s="2144"/>
      <c r="M21" s="2144"/>
      <c r="N21" s="1601"/>
      <c r="O21" s="1601"/>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580"/>
      <c r="BM21" s="299">
        <v>11</v>
      </c>
    </row>
    <row s="1560" customFormat="1" customHeight="1" ht="11.549999999999999">
      <c r="D22" s="2195"/>
      <c r="E22" s="2196"/>
      <c r="F22" s="2186"/>
      <c r="G22" s="2118"/>
      <c r="H22" s="1604"/>
      <c r="I22" s="1608"/>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4"/>
      <c r="AJ22" s="1580"/>
      <c r="AK22" s="312"/>
      <c r="AL22" s="1580"/>
      <c r="AM22" s="1580"/>
      <c r="AN22" s="1580"/>
      <c r="AO22" s="1580"/>
      <c r="AP22" s="1580"/>
      <c r="AQ22" s="1580"/>
      <c r="AR22" s="1580"/>
      <c r="AS22" s="1580"/>
      <c r="AT22" s="1580"/>
      <c r="AU22" s="1580"/>
      <c r="AV22" s="1580"/>
      <c r="AW22" s="1580"/>
      <c r="AX22" s="1580"/>
      <c r="AY22" s="1580"/>
      <c r="AZ22" s="1580"/>
      <c r="BA22" s="1580"/>
      <c r="BB22" s="1580"/>
      <c r="BC22" s="1580"/>
      <c r="BD22" s="1580"/>
      <c r="BE22" s="1580"/>
      <c r="BF22" s="1580"/>
      <c r="BG22" s="1580"/>
      <c r="BH22" s="1580"/>
      <c r="BI22" s="1580"/>
      <c r="BJ22" s="1580"/>
      <c r="BK22" s="1580"/>
      <c r="BL22" s="1580"/>
      <c r="BM22" s="1560">
        <v>11</v>
      </c>
    </row>
    <row customHeight="1" ht="15">
      <c r="D23" s="2189" t="s">
        <v>91</v>
      </c>
      <c r="E23" s="2185" t="s">
        <v>309</v>
      </c>
      <c r="F23" s="2185" t="s">
        <v>312</v>
      </c>
      <c r="G23" s="2191" t="s">
        <v>19</v>
      </c>
      <c r="H23" s="1605"/>
      <c r="I23" s="2187"/>
      <c r="J23" s="2158"/>
      <c r="K23" s="1520"/>
      <c r="L23" s="2143"/>
      <c r="M23" s="2143"/>
      <c r="N23" s="1590"/>
      <c r="O23" s="2143"/>
      <c r="P23" s="2158"/>
      <c r="Q23" s="1591"/>
      <c r="R23" s="2143"/>
      <c r="S23" s="2143"/>
      <c r="T23" s="1592"/>
      <c r="U23" s="2143"/>
      <c r="V23" s="2158"/>
      <c r="W23" s="1593"/>
      <c r="X23" s="2143"/>
      <c r="Y23" s="2143"/>
      <c r="Z23" s="1590"/>
      <c r="AA23" s="2143"/>
      <c r="AB23" s="2158"/>
      <c r="AC23" s="1594"/>
      <c r="AD23" s="2143"/>
      <c r="AE23" s="2143"/>
      <c r="AF23" s="1519"/>
      <c r="AG23" s="1519"/>
      <c r="AH23" s="1595"/>
      <c r="AI23" s="1302"/>
      <c r="AJ23" s="1580"/>
      <c r="AK23" s="312" t="s">
        <v>99</v>
      </c>
      <c r="BM23" s="299">
        <v>14</v>
      </c>
    </row>
    <row customHeight="1" ht="14.699999999999998">
      <c r="D24" s="2189"/>
      <c r="E24" s="2185"/>
      <c r="F24" s="2185"/>
      <c r="G24" s="2192"/>
      <c r="H24" s="1606"/>
      <c r="I24" s="2188"/>
      <c r="J24" s="2159"/>
      <c r="K24" s="1616"/>
      <c r="L24" s="2144"/>
      <c r="M24" s="2144"/>
      <c r="N24" s="1596"/>
      <c r="O24" s="2144"/>
      <c r="P24" s="2159"/>
      <c r="Q24" s="1597"/>
      <c r="R24" s="2144"/>
      <c r="S24" s="2144"/>
      <c r="T24" s="1598"/>
      <c r="U24" s="2144"/>
      <c r="V24" s="2159"/>
      <c r="W24" s="1599"/>
      <c r="X24" s="2144"/>
      <c r="Y24" s="2144"/>
      <c r="Z24" s="1596"/>
      <c r="AA24" s="2144"/>
      <c r="AB24" s="2159"/>
      <c r="AC24" s="1600"/>
      <c r="AD24" s="2144"/>
      <c r="AE24" s="2144"/>
      <c r="AF24" s="1601"/>
      <c r="AG24" s="1601"/>
      <c r="AH24" s="2183"/>
      <c r="AI24" s="2184"/>
      <c r="AJ24" s="1580"/>
      <c r="BM24" s="299">
        <v>14</v>
      </c>
    </row>
    <row customHeight="1" ht="14.699999999999998">
      <c r="D25" s="2189"/>
      <c r="E25" s="2185"/>
      <c r="F25" s="2185"/>
      <c r="G25" s="2192"/>
      <c r="H25" s="1606"/>
      <c r="I25" s="2188"/>
      <c r="J25" s="2159"/>
      <c r="K25" s="1616"/>
      <c r="L25" s="2144"/>
      <c r="M25" s="2144"/>
      <c r="N25" s="1596"/>
      <c r="O25" s="2144"/>
      <c r="P25" s="2159"/>
      <c r="Q25" s="1597"/>
      <c r="R25" s="2144"/>
      <c r="S25" s="2144"/>
      <c r="T25" s="1598"/>
      <c r="U25" s="2144"/>
      <c r="V25" s="2159"/>
      <c r="W25" s="1599"/>
      <c r="X25" s="2144"/>
      <c r="Y25" s="2144"/>
      <c r="Z25" s="1518"/>
      <c r="AA25" s="1601"/>
      <c r="AB25" s="2183"/>
      <c r="AC25" s="2183"/>
      <c r="AD25" s="2183"/>
      <c r="AE25" s="2183"/>
      <c r="AF25" s="2183"/>
      <c r="AG25" s="2183"/>
      <c r="AH25" s="2183"/>
      <c r="AI25" s="2184"/>
      <c r="AJ25" s="1580"/>
      <c r="BM25" s="299">
        <v>14</v>
      </c>
    </row>
    <row customHeight="1" ht="14.699999999999998">
      <c r="D26" s="2189"/>
      <c r="E26" s="2185"/>
      <c r="F26" s="2185"/>
      <c r="G26" s="2192"/>
      <c r="H26" s="1606"/>
      <c r="I26" s="2188"/>
      <c r="J26" s="2159"/>
      <c r="K26" s="1616"/>
      <c r="L26" s="2144"/>
      <c r="M26" s="2144"/>
      <c r="N26" s="1596"/>
      <c r="O26" s="2144"/>
      <c r="P26" s="2159"/>
      <c r="Q26" s="1597"/>
      <c r="R26" s="2144"/>
      <c r="S26" s="2144"/>
      <c r="T26" s="1602"/>
      <c r="U26" s="1603"/>
      <c r="V26" s="2183"/>
      <c r="W26" s="2183"/>
      <c r="X26" s="2183"/>
      <c r="Y26" s="2183"/>
      <c r="Z26" s="2183"/>
      <c r="AA26" s="2183"/>
      <c r="AB26" s="2183"/>
      <c r="AC26" s="2183"/>
      <c r="AD26" s="2183"/>
      <c r="AE26" s="2183"/>
      <c r="AF26" s="2183"/>
      <c r="AG26" s="2183"/>
      <c r="AH26" s="2183"/>
      <c r="AI26" s="2184"/>
      <c r="AJ26" s="1580"/>
      <c r="BM26" s="299">
        <v>14</v>
      </c>
    </row>
    <row customHeight="1" ht="11.549999999999999">
      <c r="D27" s="2189"/>
      <c r="E27" s="2185"/>
      <c r="F27" s="2185"/>
      <c r="G27" s="2192"/>
      <c r="H27" s="1607"/>
      <c r="I27" s="2188"/>
      <c r="J27" s="2159"/>
      <c r="K27" s="1616"/>
      <c r="L27" s="2144"/>
      <c r="M27" s="2144"/>
      <c r="N27" s="1601"/>
      <c r="O27" s="1601"/>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580"/>
      <c r="BM27" s="299">
        <v>11</v>
      </c>
    </row>
    <row s="1560" customFormat="1" customHeight="1" ht="11.549999999999999">
      <c r="D28" s="2195"/>
      <c r="E28" s="2196"/>
      <c r="F28" s="2186"/>
      <c r="G28" s="2118"/>
      <c r="H28" s="1604"/>
      <c r="I28" s="1608"/>
      <c r="J28" s="2193"/>
      <c r="K28" s="2193"/>
      <c r="L28" s="219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4"/>
      <c r="AJ28" s="1580"/>
      <c r="AK28" s="312"/>
      <c r="AL28" s="1580"/>
      <c r="AM28" s="1580"/>
      <c r="AN28" s="1580"/>
      <c r="AO28" s="1580"/>
      <c r="AP28" s="1580"/>
      <c r="AQ28" s="1580"/>
      <c r="AR28" s="1580"/>
      <c r="AS28" s="1580"/>
      <c r="AT28" s="1580"/>
      <c r="AU28" s="1580"/>
      <c r="AV28" s="1580"/>
      <c r="AW28" s="1580"/>
      <c r="AX28" s="1580"/>
      <c r="AY28" s="1580"/>
      <c r="AZ28" s="1580"/>
      <c r="BA28" s="1580"/>
      <c r="BB28" s="1580"/>
      <c r="BC28" s="1580"/>
      <c r="BD28" s="1580"/>
      <c r="BE28" s="1580"/>
      <c r="BF28" s="1580"/>
      <c r="BG28" s="1580"/>
      <c r="BH28" s="1580"/>
      <c r="BI28" s="1580"/>
      <c r="BJ28" s="1580"/>
      <c r="BK28" s="1580"/>
      <c r="BL28" s="1580"/>
      <c r="BM28" s="1560">
        <v>11</v>
      </c>
    </row>
    <row customHeight="1" ht="15">
      <c r="D29" s="2189" t="s">
        <v>92</v>
      </c>
      <c r="E29" s="2185" t="s">
        <v>309</v>
      </c>
      <c r="F29" s="2185" t="s">
        <v>313</v>
      </c>
      <c r="G29" s="2191" t="s">
        <v>19</v>
      </c>
      <c r="H29" s="1605"/>
      <c r="I29" s="2187"/>
      <c r="J29" s="2158"/>
      <c r="K29" s="1520"/>
      <c r="L29" s="2143"/>
      <c r="M29" s="2143"/>
      <c r="N29" s="1590"/>
      <c r="O29" s="2143"/>
      <c r="P29" s="2158"/>
      <c r="Q29" s="1591"/>
      <c r="R29" s="2143"/>
      <c r="S29" s="2143"/>
      <c r="T29" s="1592"/>
      <c r="U29" s="2143"/>
      <c r="V29" s="2158"/>
      <c r="W29" s="1593"/>
      <c r="X29" s="2143"/>
      <c r="Y29" s="2143"/>
      <c r="Z29" s="1590"/>
      <c r="AA29" s="2143"/>
      <c r="AB29" s="2158"/>
      <c r="AC29" s="1594"/>
      <c r="AD29" s="2143"/>
      <c r="AE29" s="2143"/>
      <c r="AF29" s="1519"/>
      <c r="AG29" s="1519"/>
      <c r="AH29" s="1595"/>
      <c r="AI29" s="1302"/>
      <c r="AJ29" s="1580"/>
      <c r="BM29" s="299">
        <v>14</v>
      </c>
    </row>
    <row customHeight="1" ht="14.699999999999998">
      <c r="D30" s="2189"/>
      <c r="E30" s="2185"/>
      <c r="F30" s="2185"/>
      <c r="G30" s="2192"/>
      <c r="H30" s="1606"/>
      <c r="I30" s="2188"/>
      <c r="J30" s="2159"/>
      <c r="K30" s="1589"/>
      <c r="L30" s="2144"/>
      <c r="M30" s="2144"/>
      <c r="N30" s="1596"/>
      <c r="O30" s="2144"/>
      <c r="P30" s="2159"/>
      <c r="Q30" s="1597"/>
      <c r="R30" s="2144"/>
      <c r="S30" s="2144"/>
      <c r="T30" s="1598"/>
      <c r="U30" s="2144"/>
      <c r="V30" s="2159"/>
      <c r="W30" s="1599"/>
      <c r="X30" s="2144"/>
      <c r="Y30" s="2144"/>
      <c r="Z30" s="1596"/>
      <c r="AA30" s="2144"/>
      <c r="AB30" s="2159"/>
      <c r="AC30" s="1600"/>
      <c r="AD30" s="2144"/>
      <c r="AE30" s="2144"/>
      <c r="AF30" s="1601"/>
      <c r="AG30" s="1601"/>
      <c r="AH30" s="2183"/>
      <c r="AI30" s="2184"/>
      <c r="AJ30" s="1580"/>
      <c r="BM30" s="299">
        <v>14</v>
      </c>
    </row>
    <row customHeight="1" ht="14.699999999999998">
      <c r="D31" s="2189"/>
      <c r="E31" s="2185"/>
      <c r="F31" s="2185"/>
      <c r="G31" s="2192"/>
      <c r="H31" s="1606"/>
      <c r="I31" s="2188"/>
      <c r="J31" s="2159"/>
      <c r="K31" s="1589"/>
      <c r="L31" s="2144"/>
      <c r="M31" s="2144"/>
      <c r="N31" s="1596"/>
      <c r="O31" s="2144"/>
      <c r="P31" s="2159"/>
      <c r="Q31" s="1597"/>
      <c r="R31" s="2144"/>
      <c r="S31" s="2144"/>
      <c r="T31" s="1598"/>
      <c r="U31" s="2144"/>
      <c r="V31" s="2159"/>
      <c r="W31" s="1599"/>
      <c r="X31" s="2144"/>
      <c r="Y31" s="2144"/>
      <c r="Z31" s="1518"/>
      <c r="AA31" s="1601"/>
      <c r="AB31" s="2183"/>
      <c r="AC31" s="2183"/>
      <c r="AD31" s="2183"/>
      <c r="AE31" s="2183"/>
      <c r="AF31" s="2183"/>
      <c r="AG31" s="2183"/>
      <c r="AH31" s="2183"/>
      <c r="AI31" s="2184"/>
      <c r="AJ31" s="1580"/>
      <c r="BM31" s="299">
        <v>14</v>
      </c>
    </row>
    <row customHeight="1" ht="14.699999999999998">
      <c r="D32" s="2189"/>
      <c r="E32" s="2185"/>
      <c r="F32" s="2185"/>
      <c r="G32" s="2192"/>
      <c r="H32" s="1606"/>
      <c r="I32" s="2188"/>
      <c r="J32" s="2159"/>
      <c r="K32" s="1589"/>
      <c r="L32" s="2144"/>
      <c r="M32" s="2144"/>
      <c r="N32" s="1596"/>
      <c r="O32" s="2144"/>
      <c r="P32" s="2159"/>
      <c r="Q32" s="1597"/>
      <c r="R32" s="2144"/>
      <c r="S32" s="2144"/>
      <c r="T32" s="1602"/>
      <c r="U32" s="1603"/>
      <c r="V32" s="2183"/>
      <c r="W32" s="2183"/>
      <c r="X32" s="2183"/>
      <c r="Y32" s="2183"/>
      <c r="Z32" s="2183"/>
      <c r="AA32" s="2183"/>
      <c r="AB32" s="2183"/>
      <c r="AC32" s="2183"/>
      <c r="AD32" s="2183"/>
      <c r="AE32" s="2183"/>
      <c r="AF32" s="2183"/>
      <c r="AG32" s="2183"/>
      <c r="AH32" s="2183"/>
      <c r="AI32" s="2184"/>
      <c r="AJ32" s="1580"/>
      <c r="BM32" s="299">
        <v>14</v>
      </c>
    </row>
    <row customHeight="1" ht="11.549999999999999">
      <c r="D33" s="2189"/>
      <c r="E33" s="2185"/>
      <c r="F33" s="2185"/>
      <c r="G33" s="2192"/>
      <c r="H33" s="1607"/>
      <c r="I33" s="2188"/>
      <c r="J33" s="2159"/>
      <c r="K33" s="1589"/>
      <c r="L33" s="2144"/>
      <c r="M33" s="2144"/>
      <c r="N33" s="1601"/>
      <c r="O33" s="1601"/>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580"/>
      <c r="BM33" s="299">
        <v>11</v>
      </c>
    </row>
    <row s="1560" customFormat="1" customHeight="1" ht="11.549999999999999">
      <c r="D34" s="2195"/>
      <c r="E34" s="2196"/>
      <c r="F34" s="2186"/>
      <c r="G34" s="2118"/>
      <c r="H34" s="1604"/>
      <c r="I34" s="1608"/>
      <c r="J34" s="2193"/>
      <c r="K34" s="2193"/>
      <c r="L34" s="219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4"/>
      <c r="AJ34" s="1580"/>
      <c r="AK34" s="312"/>
      <c r="AL34" s="1580"/>
      <c r="AM34" s="1580"/>
      <c r="AN34" s="1580"/>
      <c r="AO34" s="1580"/>
      <c r="AP34" s="1580"/>
      <c r="AQ34" s="1580"/>
      <c r="AR34" s="1580"/>
      <c r="AS34" s="1580"/>
      <c r="AT34" s="1580"/>
      <c r="AU34" s="1580"/>
      <c r="AV34" s="1580"/>
      <c r="AW34" s="1580"/>
      <c r="AX34" s="1580"/>
      <c r="AY34" s="1580"/>
      <c r="AZ34" s="1580"/>
      <c r="BA34" s="1580"/>
      <c r="BB34" s="1580"/>
      <c r="BC34" s="1580"/>
      <c r="BD34" s="1580"/>
      <c r="BE34" s="1580"/>
      <c r="BF34" s="1580"/>
      <c r="BG34" s="1580"/>
      <c r="BH34" s="1580"/>
      <c r="BI34" s="1580"/>
      <c r="BJ34" s="1580"/>
      <c r="BK34" s="1580"/>
      <c r="BL34" s="1580"/>
      <c r="BM34" s="1560">
        <v>11</v>
      </c>
    </row>
    <row customHeight="1" ht="15">
      <c r="D35" s="2189" t="s">
        <v>113</v>
      </c>
      <c r="E35" s="2185" t="s">
        <v>309</v>
      </c>
      <c r="F35" s="2185" t="s">
        <v>314</v>
      </c>
      <c r="G35" s="2191" t="s">
        <v>19</v>
      </c>
      <c r="H35" s="1605"/>
      <c r="I35" s="2187"/>
      <c r="J35" s="2158"/>
      <c r="K35" s="1520"/>
      <c r="L35" s="2143"/>
      <c r="M35" s="2143"/>
      <c r="N35" s="1590"/>
      <c r="O35" s="2143"/>
      <c r="P35" s="2158"/>
      <c r="Q35" s="1591"/>
      <c r="R35" s="2143"/>
      <c r="S35" s="2143"/>
      <c r="T35" s="1592"/>
      <c r="U35" s="2143"/>
      <c r="V35" s="2158"/>
      <c r="W35" s="1593"/>
      <c r="X35" s="2143"/>
      <c r="Y35" s="2143"/>
      <c r="Z35" s="1590"/>
      <c r="AA35" s="2143"/>
      <c r="AB35" s="2158"/>
      <c r="AC35" s="1594"/>
      <c r="AD35" s="2143"/>
      <c r="AE35" s="2143"/>
      <c r="AF35" s="1519"/>
      <c r="AG35" s="1519"/>
      <c r="AH35" s="1595"/>
      <c r="AI35" s="1302"/>
      <c r="AJ35" s="1580"/>
      <c r="BM35" s="299">
        <v>14</v>
      </c>
    </row>
    <row customHeight="1" ht="14.699999999999998">
      <c r="D36" s="2189"/>
      <c r="E36" s="2185"/>
      <c r="F36" s="2185"/>
      <c r="G36" s="2192"/>
      <c r="H36" s="1606"/>
      <c r="I36" s="2188"/>
      <c r="J36" s="2159"/>
      <c r="K36" s="1589"/>
      <c r="L36" s="2144"/>
      <c r="M36" s="2144"/>
      <c r="N36" s="1596"/>
      <c r="O36" s="2144"/>
      <c r="P36" s="2159"/>
      <c r="Q36" s="1597"/>
      <c r="R36" s="2144"/>
      <c r="S36" s="2144"/>
      <c r="T36" s="1598"/>
      <c r="U36" s="2144"/>
      <c r="V36" s="2159"/>
      <c r="W36" s="1599"/>
      <c r="X36" s="2144"/>
      <c r="Y36" s="2144"/>
      <c r="Z36" s="1596"/>
      <c r="AA36" s="2144"/>
      <c r="AB36" s="2159"/>
      <c r="AC36" s="1600"/>
      <c r="AD36" s="2144"/>
      <c r="AE36" s="2144"/>
      <c r="AF36" s="1601"/>
      <c r="AG36" s="1601"/>
      <c r="AH36" s="2183"/>
      <c r="AI36" s="2184"/>
      <c r="AJ36" s="1580"/>
      <c r="BM36" s="299">
        <v>14</v>
      </c>
    </row>
    <row customHeight="1" ht="14.699999999999998">
      <c r="D37" s="2189"/>
      <c r="E37" s="2185"/>
      <c r="F37" s="2185"/>
      <c r="G37" s="2192"/>
      <c r="H37" s="1606"/>
      <c r="I37" s="2188"/>
      <c r="J37" s="2159"/>
      <c r="K37" s="1589"/>
      <c r="L37" s="2144"/>
      <c r="M37" s="2144"/>
      <c r="N37" s="1596"/>
      <c r="O37" s="2144"/>
      <c r="P37" s="2159"/>
      <c r="Q37" s="1597"/>
      <c r="R37" s="2144"/>
      <c r="S37" s="2144"/>
      <c r="T37" s="1598"/>
      <c r="U37" s="2144"/>
      <c r="V37" s="2159"/>
      <c r="W37" s="1599"/>
      <c r="X37" s="2144"/>
      <c r="Y37" s="2144"/>
      <c r="Z37" s="1518"/>
      <c r="AA37" s="1601"/>
      <c r="AB37" s="2183"/>
      <c r="AC37" s="2183"/>
      <c r="AD37" s="2183"/>
      <c r="AE37" s="2183"/>
      <c r="AF37" s="2183"/>
      <c r="AG37" s="2183"/>
      <c r="AH37" s="2183"/>
      <c r="AI37" s="2184"/>
      <c r="AJ37" s="1580"/>
      <c r="BM37" s="299">
        <v>14</v>
      </c>
    </row>
    <row customHeight="1" ht="14.699999999999998">
      <c r="D38" s="2189"/>
      <c r="E38" s="2185"/>
      <c r="F38" s="2185"/>
      <c r="G38" s="2192"/>
      <c r="H38" s="1606"/>
      <c r="I38" s="2188"/>
      <c r="J38" s="2159"/>
      <c r="K38" s="1589"/>
      <c r="L38" s="2144"/>
      <c r="M38" s="2144"/>
      <c r="N38" s="1596"/>
      <c r="O38" s="2144"/>
      <c r="P38" s="2159"/>
      <c r="Q38" s="1597"/>
      <c r="R38" s="2144"/>
      <c r="S38" s="2144"/>
      <c r="T38" s="1602"/>
      <c r="U38" s="1603"/>
      <c r="V38" s="2183"/>
      <c r="W38" s="2183"/>
      <c r="X38" s="2183"/>
      <c r="Y38" s="2183"/>
      <c r="Z38" s="2183"/>
      <c r="AA38" s="2183"/>
      <c r="AB38" s="2183"/>
      <c r="AC38" s="2183"/>
      <c r="AD38" s="2183"/>
      <c r="AE38" s="2183"/>
      <c r="AF38" s="2183"/>
      <c r="AG38" s="2183"/>
      <c r="AH38" s="2183"/>
      <c r="AI38" s="2184"/>
      <c r="AJ38" s="1580"/>
      <c r="BM38" s="299">
        <v>14</v>
      </c>
    </row>
    <row customHeight="1" ht="11.549999999999999">
      <c r="D39" s="2189"/>
      <c r="E39" s="2185"/>
      <c r="F39" s="2185"/>
      <c r="G39" s="2192"/>
      <c r="H39" s="1607"/>
      <c r="I39" s="2188"/>
      <c r="J39" s="2159"/>
      <c r="K39" s="1589"/>
      <c r="L39" s="2144"/>
      <c r="M39" s="2144"/>
      <c r="N39" s="1601"/>
      <c r="O39" s="1601"/>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580"/>
      <c r="BM39" s="299">
        <v>11</v>
      </c>
    </row>
    <row s="1560" customFormat="1" customHeight="1" ht="11.549999999999999">
      <c r="D40" s="2189"/>
      <c r="E40" s="2185"/>
      <c r="F40" s="2190"/>
      <c r="G40" s="2118"/>
      <c r="H40" s="1604"/>
      <c r="I40" s="1608"/>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4"/>
      <c r="AJ40" s="1580"/>
      <c r="AK40" s="312"/>
      <c r="AL40" s="1580"/>
      <c r="AM40" s="1580"/>
      <c r="AN40" s="1580"/>
      <c r="AO40" s="1580"/>
      <c r="AP40" s="1580"/>
      <c r="AQ40" s="1580"/>
      <c r="AR40" s="1580"/>
      <c r="AS40" s="1580"/>
      <c r="AT40" s="1580"/>
      <c r="AU40" s="1580"/>
      <c r="AV40" s="1580"/>
      <c r="AW40" s="1580"/>
      <c r="AX40" s="1580"/>
      <c r="AY40" s="1580"/>
      <c r="AZ40" s="1580"/>
      <c r="BA40" s="1580"/>
      <c r="BB40" s="1580"/>
      <c r="BC40" s="1580"/>
      <c r="BD40" s="1580"/>
      <c r="BE40" s="1580"/>
      <c r="BF40" s="1580"/>
      <c r="BG40" s="1580"/>
      <c r="BH40" s="1580"/>
      <c r="BI40" s="1580"/>
      <c r="BJ40" s="1580"/>
      <c r="BK40" s="1580"/>
      <c r="BL40" s="1580"/>
      <c r="BM40" s="1560">
        <v>11</v>
      </c>
    </row>
    <row customHeight="1" ht="11.549999999999999">
      <c r="AK41" s="429"/>
      <c r="BM41" s="299">
        <v>11</v>
      </c>
    </row>
    <row customHeight="1" ht="11.549999999999999">
      <c r="AK42" s="429"/>
      <c r="BM42" s="299">
        <v>11</v>
      </c>
    </row>
    <row customHeight="1" ht="11.549999999999999">
      <c r="AK43" s="429"/>
      <c r="BM43" s="299">
        <v>11</v>
      </c>
    </row>
    <row customHeight="1" ht="11.549999999999999">
      <c r="AK44" s="429"/>
      <c r="BM44" s="299">
        <v>11</v>
      </c>
    </row>
    <row customHeight="1" ht="11.549999999999999">
      <c r="AK45" s="429"/>
      <c r="BM45" s="299">
        <v>11</v>
      </c>
    </row>
    <row customHeight="1" ht="11.549999999999999">
      <c r="AK46" s="429"/>
      <c r="BM46" s="299">
        <v>11</v>
      </c>
    </row>
    <row customHeight="1" ht="11.549999999999999">
      <c r="AK47" s="429"/>
      <c r="BM47" s="299">
        <v>11</v>
      </c>
    </row>
    <row customHeight="1" ht="11.549999999999999">
      <c r="AK48" s="429"/>
      <c r="BM48" s="299">
        <v>11</v>
      </c>
    </row>
    <row customHeight="1" ht="11.549999999999999">
      <c r="AK49" s="429"/>
      <c r="BM49" s="299">
        <v>11</v>
      </c>
    </row>
    <row customHeight="1" ht="11.25" hidden="1">
      <c r="A50" s="299" t="s">
        <v>83</v>
      </c>
      <c r="B50" s="299">
        <v>0</v>
      </c>
      <c r="C50" s="299">
        <v>3</v>
      </c>
      <c r="D50" s="299">
        <v>3</v>
      </c>
      <c r="E50" s="299">
        <v>15</v>
      </c>
      <c r="F50" s="299">
        <v>15</v>
      </c>
      <c r="G50" s="299">
        <v>11</v>
      </c>
      <c r="H50" s="299">
        <v>3</v>
      </c>
      <c r="I50" s="299">
        <v>3</v>
      </c>
      <c r="J50" s="299">
        <v>12</v>
      </c>
      <c r="K50" s="299">
        <v>0</v>
      </c>
      <c r="L50" s="299">
        <v>10</v>
      </c>
      <c r="M50" s="299">
        <v>10</v>
      </c>
      <c r="N50" s="299">
        <v>3</v>
      </c>
      <c r="O50" s="299">
        <v>3</v>
      </c>
      <c r="P50" s="299">
        <v>19</v>
      </c>
      <c r="Q50" s="299">
        <v>0</v>
      </c>
      <c r="R50" s="299">
        <v>10</v>
      </c>
      <c r="S50" s="299">
        <v>10</v>
      </c>
      <c r="T50" s="299">
        <v>3</v>
      </c>
      <c r="U50" s="299">
        <v>3</v>
      </c>
      <c r="V50" s="299">
        <v>25</v>
      </c>
      <c r="W50" s="299">
        <v>0</v>
      </c>
      <c r="X50" s="299">
        <v>10</v>
      </c>
      <c r="Y50" s="299">
        <v>10</v>
      </c>
      <c r="Z50" s="299">
        <v>3</v>
      </c>
      <c r="AA50" s="299">
        <v>3</v>
      </c>
      <c r="AB50" s="299">
        <v>16</v>
      </c>
      <c r="AC50" s="299">
        <v>0</v>
      </c>
      <c r="AD50" s="299">
        <v>10</v>
      </c>
      <c r="AE50" s="299">
        <v>10</v>
      </c>
      <c r="AF50" s="299">
        <v>3</v>
      </c>
      <c r="AG50" s="299">
        <v>3</v>
      </c>
      <c r="AH50" s="299">
        <v>8</v>
      </c>
      <c r="AI50" s="299">
        <v>21</v>
      </c>
      <c r="AJ50" s="429">
        <v>8</v>
      </c>
      <c r="AK50" s="312">
        <v>8</v>
      </c>
      <c r="AL50" s="429">
        <v>8</v>
      </c>
      <c r="AM50" s="429">
        <v>8</v>
      </c>
      <c r="AN50" s="429">
        <v>8</v>
      </c>
      <c r="AO50" s="429">
        <v>8</v>
      </c>
      <c r="AP50" s="429">
        <v>8</v>
      </c>
      <c r="AQ50" s="429">
        <v>8</v>
      </c>
      <c r="AR50" s="429">
        <v>8</v>
      </c>
      <c r="AS50" s="429">
        <v>8</v>
      </c>
      <c r="AT50" s="429">
        <v>8</v>
      </c>
      <c r="AU50" s="429">
        <v>8</v>
      </c>
      <c r="AV50" s="429">
        <v>8</v>
      </c>
      <c r="AW50" s="429">
        <v>8</v>
      </c>
      <c r="AX50" s="429">
        <v>8</v>
      </c>
      <c r="AY50" s="429">
        <v>8</v>
      </c>
      <c r="AZ50" s="429">
        <v>8</v>
      </c>
      <c r="BA50" s="429">
        <v>8</v>
      </c>
      <c r="BB50" s="429">
        <v>8</v>
      </c>
      <c r="BC50" s="429">
        <v>8</v>
      </c>
      <c r="BD50" s="429">
        <v>8</v>
      </c>
      <c r="BE50" s="429">
        <v>8</v>
      </c>
      <c r="BF50" s="429">
        <v>8</v>
      </c>
      <c r="BG50" s="429">
        <v>8</v>
      </c>
      <c r="BH50" s="429">
        <v>8</v>
      </c>
      <c r="BI50" s="429">
        <v>8</v>
      </c>
      <c r="BJ50" s="429">
        <v>8</v>
      </c>
      <c r="BK50" s="429">
        <v>8</v>
      </c>
      <c r="BL50" s="429">
        <v>8</v>
      </c>
      <c r="BM50" s="299">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CF9C06-C2E5-B013-2985-86BC3E8F4DDA}"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6" width="1.7109375" customWidth="1"/>
    <col min="2" max="2" style="1856" width="34.57421875" customWidth="1"/>
    <col min="3" max="3" style="1856" width="85.00390625" customWidth="1"/>
    <col min="4" max="4" style="1856" width="17.00390625" customWidth="1"/>
    <col min="5" max="5" style="1856" width="8.00390625" customWidth="1"/>
    <col min="6" max="6" style="1856" width="9.140625" hidden="1"/>
  </cols>
  <sheetData>
    <row customHeight="1" ht="3">
      <c r="F1" s="95" t="s">
        <v>14</v>
      </c>
    </row>
    <row customHeight="1" ht="22.5">
      <c r="B2" s="2619" t="s">
        <v>1941</v>
      </c>
      <c r="C2" s="2506"/>
      <c r="D2" s="2506"/>
      <c r="E2" s="274"/>
      <c r="F2" s="95">
        <v>22</v>
      </c>
    </row>
    <row customHeight="1" ht="3">
      <c r="F3" s="95">
        <v>3</v>
      </c>
    </row>
    <row customHeight="1" ht="23.25">
      <c r="B4" s="2620" t="s">
        <v>1942</v>
      </c>
      <c r="C4" s="389" t="s">
        <v>1943</v>
      </c>
      <c r="D4" s="389" t="s">
        <v>1944</v>
      </c>
      <c r="F4" s="95">
        <v>22</v>
      </c>
    </row>
    <row customHeight="1" ht="11.25" hidden="1">
      <c r="A5" s="95" t="s">
        <v>83</v>
      </c>
      <c r="B5" s="95">
        <v>34</v>
      </c>
      <c r="C5" s="95">
        <v>85</v>
      </c>
      <c r="D5" s="95">
        <v>17</v>
      </c>
      <c r="E5" s="95">
        <v>8</v>
      </c>
      <c r="F5" s="95">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E8422C-C329-43C5-C04D-7B27121F2E5C}"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6" width="26.57421875" customWidth="1"/>
    <col min="2" max="2" style="1856" width="10.00390625" customWidth="1"/>
    <col min="3" max="3" style="1856" width="9.140625"/>
    <col min="4" max="4" style="1856" width="11.140625" customWidth="1"/>
    <col min="5" max="5" style="1856" width="16.57421875" customWidth="1"/>
    <col min="6" max="6" style="1856" width="16.28125" customWidth="1"/>
    <col min="7" max="7" style="1856" width="19.140625" customWidth="1"/>
    <col min="8" max="11" style="1856" width="10.00390625" customWidth="1"/>
    <col min="12" max="12" style="1856" width="12.7109375" customWidth="1"/>
    <col min="13" max="13" style="1856" width="61.28125" customWidth="1"/>
    <col min="14" max="14" style="1856" width="10.00390625" customWidth="1"/>
    <col min="15" max="17" style="1856" width="23.7109375" customWidth="1"/>
    <col min="18" max="18" style="1856" width="11.7109375" customWidth="1"/>
    <col min="19" max="19" style="1856" width="8.57421875" customWidth="1"/>
    <col min="20" max="20" style="1856" width="11.7109375" customWidth="1"/>
    <col min="21" max="21" style="1856" width="8.57421875" customWidth="1"/>
    <col min="22" max="22" style="1856" width="4.7109375" customWidth="1"/>
    <col min="23" max="23" style="1856" width="115.7109375" customWidth="1"/>
    <col min="24" max="24" style="1856" width="115.28125" customWidth="1"/>
    <col min="25" max="27" style="1856" width="9.140625"/>
    <col min="28" max="28" style="1856" width="115.7109375" customWidth="1"/>
    <col min="29" max="29" style="1856" width="9.140625"/>
    <col min="30" max="90" style="1856" width="115.7109375" customWidth="1"/>
    <col min="91" max="184" style="1856" width="9.140625"/>
  </cols>
  <sheetData>
    <row r="2" s="1821" customFormat="1" customHeight="1" ht="17.25">
      <c r="A2" s="1821" t="s">
        <v>1945</v>
      </c>
    </row>
    <row r="4" s="270" customFormat="1" customHeight="1" ht="15">
      <c r="C4" s="1822"/>
      <c r="D4" s="119"/>
      <c r="E4" s="383"/>
    </row>
    <row r="6" s="1821" customFormat="1" customHeight="1" ht="17.25">
      <c r="A6" s="1821" t="s">
        <v>1946</v>
      </c>
    </row>
    <row r="8" s="270" customFormat="1" customHeight="1" ht="17.25">
      <c r="C8" s="1823"/>
      <c r="D8" s="119"/>
      <c r="E8" s="120"/>
    </row>
    <row r="11" s="1821" customFormat="1" customHeight="1" ht="17.25">
      <c r="A11" s="1821" t="s">
        <v>1947</v>
      </c>
    </row>
    <row r="13" s="1825" customFormat="1" customHeight="1" ht="15">
      <c r="A13" s="2223">
        <v>1</v>
      </c>
      <c r="B13" s="1166"/>
      <c r="C13" s="807" t="s">
        <v>253</v>
      </c>
      <c r="D13" s="1824"/>
      <c r="E13" s="1811">
        <f>A13</f>
        <v>1</v>
      </c>
      <c r="F13" s="810"/>
      <c r="G13" s="546" t="str">
        <f>"Территория "&amp;E13</f>
        <v>Территория 1</v>
      </c>
      <c r="H13" s="798"/>
      <c r="I13" s="798"/>
      <c r="J13" s="795"/>
      <c r="K13" s="1630"/>
      <c r="L13" s="1630"/>
      <c r="M13" s="1630"/>
      <c r="N13" s="232"/>
      <c r="O13" s="1630"/>
      <c r="P13" s="231"/>
      <c r="Q13" s="231"/>
      <c r="R13" s="231"/>
      <c r="S13" s="231"/>
    </row>
    <row s="1856" customFormat="1" customHeight="1" ht="15">
      <c r="A14" s="2223"/>
      <c r="B14" s="1166">
        <v>1</v>
      </c>
      <c r="C14" s="1166"/>
      <c r="D14" s="806"/>
      <c r="E14" s="1819" t="str">
        <f>A13&amp;"."&amp;B14</f>
        <v>1.1</v>
      </c>
      <c r="F14" s="809">
        <f>$F$20</f>
        <v>0</v>
      </c>
      <c r="G14" s="799"/>
      <c r="H14" s="799"/>
      <c r="I14" s="797"/>
      <c r="J14" s="1630"/>
      <c r="K14" s="1642"/>
      <c r="L14" s="1642"/>
      <c r="M14" s="1630" t="str">
        <f t="array" ref="M14:M14">IF(ISERROR(MATCH(MID(N14,1,250),MID(note_ter,1,250),0)),"n","y")</f>
        <v>n</v>
      </c>
      <c r="N14" s="1642"/>
      <c r="O14" s="1630" t="str">
        <f>H14&amp;"("&amp;I14&amp;")"</f>
        <v>()</v>
      </c>
      <c r="P14" s="1166"/>
      <c r="Q14" s="1166"/>
      <c r="R14" s="426"/>
      <c r="S14" s="1166"/>
      <c r="T14" s="1166"/>
      <c r="U14" s="1166"/>
      <c r="V14" s="428"/>
      <c r="W14" s="428"/>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8"/>
      <c r="BT14" s="428"/>
      <c r="BU14" s="428"/>
      <c r="BV14" s="428"/>
      <c r="BW14" s="428"/>
      <c r="BX14" s="428"/>
      <c r="BY14" s="428"/>
      <c r="BZ14" s="428"/>
      <c r="CA14" s="428"/>
      <c r="CB14" s="428"/>
    </row>
    <row s="1856" customFormat="1" customHeight="1" ht="15">
      <c r="A15" s="2223"/>
      <c r="B15" s="1166"/>
      <c r="C15" s="418"/>
      <c r="D15" s="807"/>
      <c r="E15" s="427"/>
      <c r="F15" s="183"/>
      <c r="G15" s="421" t="s">
        <v>104</v>
      </c>
      <c r="H15" s="193"/>
      <c r="I15" s="430"/>
      <c r="J15" s="1642"/>
      <c r="K15" s="1642"/>
      <c r="L15" s="1642"/>
      <c r="M15" s="1642"/>
      <c r="N15" s="1630"/>
      <c r="O15" s="1642"/>
      <c r="P15" s="1166"/>
      <c r="Q15" s="1166"/>
      <c r="R15" s="426"/>
      <c r="S15" s="1166"/>
      <c r="T15" s="1166"/>
      <c r="U15" s="1166"/>
      <c r="V15" s="428"/>
      <c r="W15" s="428"/>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8"/>
      <c r="BT15" s="428"/>
      <c r="BU15" s="428"/>
      <c r="BV15" s="428"/>
      <c r="BW15" s="428"/>
      <c r="BX15" s="428"/>
      <c r="BY15" s="428"/>
      <c r="BZ15" s="428"/>
      <c r="CA15" s="428"/>
      <c r="CB15" s="428"/>
    </row>
    <row r="17" s="1821" customFormat="1" customHeight="1" ht="17.25">
      <c r="A17" s="1821" t="s">
        <v>1948</v>
      </c>
    </row>
    <row r="19" s="1856" customFormat="1" customHeight="1" ht="15">
      <c r="A19" s="1888"/>
      <c r="B19" s="1372">
        <v>1</v>
      </c>
      <c r="C19" s="1372"/>
      <c r="D19" s="806" t="s">
        <v>253</v>
      </c>
      <c r="E19" s="1884"/>
      <c r="F19" s="1889">
        <f>$F$20</f>
        <v>0</v>
      </c>
      <c r="G19" s="1893"/>
      <c r="H19" s="1893"/>
      <c r="I19" s="1891"/>
      <c r="J19" s="1630"/>
      <c r="K19" s="1642"/>
      <c r="L19" s="1642"/>
      <c r="M19" s="1630" t="str">
        <f t="array" ref="M19:M19">IF(ISERROR(MATCH(MID(N19,1,250),MID(note_ter,1,250),0)),"n","y")</f>
        <v>n</v>
      </c>
      <c r="N19" s="1642"/>
      <c r="O19" s="1630" t="str">
        <f>H19&amp;"("&amp;I19&amp;")"</f>
        <v>()</v>
      </c>
      <c r="P19" s="1372"/>
      <c r="Q19" s="1372"/>
      <c r="R19" s="426"/>
      <c r="S19" s="1372"/>
      <c r="T19" s="1372"/>
      <c r="U19" s="1372"/>
      <c r="V19" s="839"/>
      <c r="W19" s="839"/>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839"/>
      <c r="BT19" s="839"/>
      <c r="BU19" s="839"/>
      <c r="BV19" s="839"/>
      <c r="BW19" s="839"/>
      <c r="BX19" s="839"/>
      <c r="BY19" s="839"/>
      <c r="BZ19" s="839"/>
      <c r="CA19" s="839"/>
      <c r="CB19" s="839"/>
    </row>
    <row r="21" s="1856" customFormat="1" customHeight="1" ht="15">
      <c r="A21" s="1821" t="s">
        <v>1949</v>
      </c>
      <c r="B21" s="1821"/>
      <c r="C21" s="1821"/>
      <c r="D21" s="1821"/>
      <c r="E21" s="1821"/>
      <c r="F21" s="1821"/>
      <c r="G21" s="1821"/>
      <c r="H21" s="1821"/>
      <c r="I21" s="1821"/>
      <c r="J21" s="1821"/>
      <c r="K21" s="1821"/>
      <c r="L21" s="1821"/>
      <c r="M21" s="1821"/>
      <c r="N21" s="1821"/>
      <c r="O21" s="1821"/>
      <c r="P21" s="1821"/>
      <c r="Q21" s="1821"/>
      <c r="R21" s="1821"/>
      <c r="S21" s="1821"/>
      <c r="T21" s="1821"/>
      <c r="U21" s="190"/>
      <c r="V21" s="1821"/>
      <c r="W21" s="1821"/>
    </row>
    <row s="1856" customFormat="1" customHeight="1" ht="15">
      <c r="U22" s="191"/>
    </row>
    <row s="1859" customFormat="1" customHeight="1" ht="15">
      <c r="A23" s="429"/>
      <c r="B23" s="429"/>
      <c r="C23" s="1734" t="s">
        <v>253</v>
      </c>
      <c r="D23" s="2114" t="s">
        <v>111</v>
      </c>
      <c r="E23" s="2115"/>
      <c r="F23" s="2113" t="s">
        <v>19</v>
      </c>
      <c r="G23" s="2563"/>
      <c r="H23" s="2133">
        <v>1</v>
      </c>
      <c r="I23" s="2565" t="str">
        <f>IF(U23="","",INDEX(TERRITORY_MR_LIST,MATCH(U23,TERRITORY_LIST_ID,0)))</f>
        <v/>
      </c>
      <c r="J23" s="2113" t="s">
        <v>19</v>
      </c>
      <c r="K23" s="838"/>
      <c r="L23" s="1788" t="s">
        <v>111</v>
      </c>
      <c r="M23" s="609"/>
      <c r="N23" s="610"/>
      <c r="O23" s="610"/>
      <c r="P23" s="610"/>
      <c r="Q23" s="610"/>
      <c r="R23" s="610"/>
      <c r="S23" s="610"/>
      <c r="T23" s="610"/>
      <c r="U23" s="611"/>
      <c r="V23" s="610"/>
      <c r="W23" s="610"/>
      <c r="X23" s="601"/>
      <c r="Y23" s="601" t="s">
        <v>120</v>
      </c>
      <c r="Z23" s="601">
        <v>1705000</v>
      </c>
      <c r="AA23" s="601"/>
      <c r="AB23" s="601"/>
      <c r="AC23" s="601"/>
      <c r="AD23" s="601"/>
      <c r="AE23" s="601"/>
      <c r="AF23" s="601"/>
      <c r="AG23" s="601"/>
      <c r="AH23" s="601"/>
      <c r="AI23" s="601"/>
      <c r="AJ23" s="601"/>
      <c r="AK23" s="601"/>
      <c r="AL23" s="601"/>
    </row>
    <row s="1859" customFormat="1" customHeight="1" ht="15">
      <c r="A24" s="429"/>
      <c r="B24" s="429"/>
      <c r="C24" s="182"/>
      <c r="D24" s="2114"/>
      <c r="E24" s="2116"/>
      <c r="F24" s="2113"/>
      <c r="G24" s="2564"/>
      <c r="H24" s="2133"/>
      <c r="I24" s="2566"/>
      <c r="J24" s="2113"/>
      <c r="K24" s="427"/>
      <c r="L24" s="183"/>
      <c r="M24" s="613" t="s">
        <v>121</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row>
    <row s="1859" customFormat="1" customHeight="1" ht="15">
      <c r="A25" s="429"/>
      <c r="B25" s="429"/>
      <c r="C25" s="182"/>
      <c r="D25" s="2114"/>
      <c r="E25" s="2117"/>
      <c r="F25" s="2113"/>
      <c r="G25" s="427"/>
      <c r="H25" s="183"/>
      <c r="I25" s="586" t="s">
        <v>122</v>
      </c>
      <c r="J25" s="183"/>
      <c r="K25" s="183"/>
      <c r="L25" s="183"/>
      <c r="M25" s="614"/>
      <c r="N25" s="610"/>
      <c r="O25" s="610"/>
      <c r="P25" s="610"/>
      <c r="Q25" s="610"/>
      <c r="R25" s="610"/>
      <c r="S25" s="610"/>
      <c r="T25" s="610"/>
      <c r="U25" s="611"/>
      <c r="V25" s="610"/>
      <c r="W25" s="610"/>
      <c r="X25" s="601"/>
      <c r="Y25" s="601"/>
      <c r="Z25" s="601"/>
      <c r="AA25" s="601"/>
      <c r="AB25" s="601"/>
      <c r="AC25" s="601"/>
      <c r="AD25" s="601"/>
      <c r="AE25" s="601"/>
      <c r="AF25" s="601"/>
      <c r="AG25" s="601"/>
      <c r="AH25" s="601"/>
      <c r="AI25" s="601"/>
      <c r="AJ25" s="601"/>
      <c r="AK25" s="601"/>
      <c r="AL25" s="601"/>
    </row>
    <row s="1856" customFormat="1" customHeight="1" ht="15">
      <c r="U26" s="191"/>
    </row>
    <row s="1856" customFormat="1" customHeight="1" ht="15">
      <c r="A27" s="1821" t="s">
        <v>1950</v>
      </c>
      <c r="B27" s="1821"/>
      <c r="C27" s="1821"/>
      <c r="D27" s="1821"/>
      <c r="E27" s="1821"/>
      <c r="F27" s="1821"/>
      <c r="G27" s="1821"/>
      <c r="H27" s="1821"/>
      <c r="I27" s="1821"/>
      <c r="J27" s="1821"/>
      <c r="K27" s="1821"/>
      <c r="L27" s="1821"/>
      <c r="M27" s="1821"/>
      <c r="N27" s="1821"/>
      <c r="O27" s="1821"/>
      <c r="P27" s="1821"/>
      <c r="Q27" s="1821"/>
      <c r="R27" s="1821"/>
      <c r="S27" s="1821"/>
      <c r="T27" s="1821"/>
      <c r="U27" s="190"/>
      <c r="V27" s="1821"/>
      <c r="W27" s="1821"/>
    </row>
    <row s="1856" customFormat="1" customHeight="1" ht="15">
      <c r="U28" s="191"/>
    </row>
    <row s="1859" customFormat="1" customHeight="1" ht="15">
      <c r="A29" s="429"/>
      <c r="B29" s="429"/>
      <c r="C29" s="182"/>
      <c r="D29" s="1827"/>
      <c r="E29" s="1827"/>
      <c r="F29" s="1827"/>
      <c r="G29" s="2567" t="s">
        <v>253</v>
      </c>
      <c r="H29" s="2109">
        <v>1</v>
      </c>
      <c r="I29" s="2568" t="str">
        <f>IF(U29="","",INDEX(TERRITORY_MR_LIST,MATCH(U29,TERRITORY_LIST_ID,0)))</f>
        <v/>
      </c>
      <c r="J29" s="2113" t="s">
        <v>19</v>
      </c>
      <c r="K29" s="838"/>
      <c r="L29" s="1788" t="s">
        <v>111</v>
      </c>
      <c r="M29" s="609"/>
      <c r="N29" s="610"/>
      <c r="O29" s="610"/>
      <c r="P29" s="610"/>
      <c r="Q29" s="610"/>
      <c r="R29" s="610"/>
      <c r="S29" s="610"/>
      <c r="T29" s="610"/>
      <c r="U29" s="611"/>
      <c r="V29" s="610"/>
      <c r="W29" s="610"/>
      <c r="X29" s="601"/>
      <c r="Y29" s="601" t="s">
        <v>120</v>
      </c>
      <c r="Z29" s="601">
        <v>1705000</v>
      </c>
      <c r="AA29" s="601"/>
      <c r="AB29" s="601"/>
      <c r="AC29" s="601"/>
      <c r="AD29" s="601"/>
      <c r="AE29" s="601"/>
      <c r="AF29" s="601"/>
      <c r="AG29" s="601"/>
      <c r="AH29" s="601"/>
      <c r="AI29" s="601"/>
      <c r="AJ29" s="601"/>
      <c r="AK29" s="601"/>
      <c r="AL29" s="601"/>
    </row>
    <row s="1859" customFormat="1" customHeight="1" ht="15">
      <c r="A30" s="429"/>
      <c r="B30" s="429"/>
      <c r="C30" s="182"/>
      <c r="D30" s="1827"/>
      <c r="E30" s="1827"/>
      <c r="F30" s="1827"/>
      <c r="G30" s="2567"/>
      <c r="H30" s="2109"/>
      <c r="I30" s="2568"/>
      <c r="J30" s="2113"/>
      <c r="K30" s="427"/>
      <c r="L30" s="183"/>
      <c r="M30" s="613" t="s">
        <v>121</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row>
    <row s="1856" customFormat="1" customHeight="1" ht="15">
      <c r="U31" s="191"/>
    </row>
    <row s="1856" customFormat="1" customHeight="1" ht="15">
      <c r="A32" s="1821" t="s">
        <v>1951</v>
      </c>
      <c r="B32" s="1821"/>
      <c r="C32" s="1821"/>
      <c r="D32" s="1821"/>
      <c r="E32" s="1821"/>
      <c r="F32" s="1821"/>
      <c r="G32" s="1821"/>
      <c r="H32" s="1821"/>
      <c r="I32" s="1821"/>
      <c r="J32" s="1821"/>
      <c r="K32" s="1821"/>
      <c r="L32" s="1821"/>
      <c r="M32" s="1821"/>
      <c r="N32" s="1821"/>
      <c r="O32" s="1821"/>
      <c r="P32" s="1821"/>
      <c r="Q32" s="1821"/>
      <c r="R32" s="1821"/>
      <c r="S32" s="1821"/>
      <c r="T32" s="1821"/>
      <c r="U32" s="190"/>
      <c r="V32" s="1821"/>
      <c r="W32" s="1821"/>
    </row>
    <row s="1856" customFormat="1" customHeight="1" ht="15">
      <c r="U33" s="191"/>
    </row>
    <row s="1859" customFormat="1" customHeight="1" ht="15">
      <c r="A34" s="429"/>
      <c r="B34" s="429"/>
      <c r="C34" s="182"/>
      <c r="D34" s="1827"/>
      <c r="E34" s="1827"/>
      <c r="F34" s="1827"/>
      <c r="G34" s="1827"/>
      <c r="H34" s="1827"/>
      <c r="I34" s="1827"/>
      <c r="J34" s="1827"/>
      <c r="K34" s="1805" t="s">
        <v>253</v>
      </c>
      <c r="L34" s="1735" t="s">
        <v>111</v>
      </c>
      <c r="M34" s="817"/>
      <c r="N34" s="818"/>
      <c r="O34" s="610"/>
      <c r="P34" s="610"/>
      <c r="Q34" s="610"/>
      <c r="R34" s="610"/>
      <c r="S34" s="610"/>
      <c r="T34" s="610"/>
      <c r="U34" s="611"/>
      <c r="V34" s="610"/>
      <c r="W34" s="610"/>
      <c r="X34" s="601"/>
      <c r="Y34" s="601" t="s">
        <v>120</v>
      </c>
      <c r="Z34" s="601">
        <v>1705000</v>
      </c>
      <c r="AA34" s="601"/>
      <c r="AB34" s="601"/>
      <c r="AC34" s="601"/>
      <c r="AD34" s="601"/>
      <c r="AE34" s="601"/>
      <c r="AF34" s="601"/>
      <c r="AG34" s="601"/>
      <c r="AH34" s="601"/>
      <c r="AI34" s="601"/>
      <c r="AJ34" s="601"/>
      <c r="AK34" s="601"/>
      <c r="AL34" s="601"/>
    </row>
    <row s="1856" customFormat="1" customHeight="1" ht="15">
      <c r="U35" s="191"/>
    </row>
    <row s="1856" customFormat="1" customHeight="1" ht="15">
      <c r="U36" s="191"/>
    </row>
    <row s="1821" customFormat="1" customHeight="1" ht="11.25">
      <c r="A37" s="1821" t="s">
        <v>1952</v>
      </c>
    </row>
    <row customHeight="1" ht="11.25"/>
    <row s="461" customFormat="1" customHeight="1" ht="22.5">
      <c r="A39" s="1797"/>
      <c r="B39" s="463"/>
      <c r="C39" s="865"/>
      <c r="D39" s="446"/>
      <c r="E39" s="866"/>
      <c r="F39" s="1818"/>
      <c r="G39" s="1828"/>
      <c r="H39" s="481"/>
    </row>
    <row customHeight="1" ht="11.25"/>
    <row s="1821" customFormat="1" customHeight="1" ht="11.25">
      <c r="A41" s="1821" t="s">
        <v>1953</v>
      </c>
    </row>
    <row customHeight="1" ht="11.25"/>
    <row s="461" customFormat="1" customHeight="1" ht="22.5">
      <c r="A43" s="463"/>
      <c r="B43" s="463"/>
      <c r="C43" s="463"/>
      <c r="D43" s="446"/>
      <c r="E43" s="866"/>
      <c r="F43" s="867"/>
      <c r="G43" s="1828"/>
      <c r="H43" s="481"/>
    </row>
    <row customHeight="1" ht="11.25"/>
    <row s="1821" customFormat="1" customHeight="1" ht="11.25">
      <c r="A45" s="1821" t="s">
        <v>1954</v>
      </c>
    </row>
    <row customHeight="1" ht="11.25"/>
    <row s="461" customFormat="1" customHeight="1" ht="24">
      <c r="A47" s="2208" t="s">
        <v>329</v>
      </c>
      <c r="B47" s="508"/>
      <c r="C47" s="2219"/>
      <c r="D47" s="451" t="str">
        <f>A47</f>
        <v>5.1</v>
      </c>
      <c r="E47" s="448" t="s">
        <v>330</v>
      </c>
      <c r="F47" s="1982" t="s">
        <v>322</v>
      </c>
      <c r="G47" s="450" t="s">
        <v>331</v>
      </c>
      <c r="H47" s="481"/>
      <c r="I47" s="858"/>
    </row>
    <row s="461" customFormat="1" customHeight="1" ht="22.5">
      <c r="A48" s="2208"/>
      <c r="B48" s="508"/>
      <c r="C48" s="2219"/>
      <c r="D48" s="446" t="str">
        <f>D47&amp;".1"</f>
        <v>5.1.1</v>
      </c>
      <c r="E48" s="445" t="s">
        <v>332</v>
      </c>
      <c r="F48" s="1983" t="s">
        <v>28</v>
      </c>
      <c r="G48" s="480"/>
      <c r="H48" s="481"/>
      <c r="I48" s="858"/>
    </row>
    <row s="461" customFormat="1" customHeight="1" ht="22.5">
      <c r="A49" s="2208"/>
      <c r="B49" s="508"/>
      <c r="C49" s="2219"/>
      <c r="D49" s="446" t="str">
        <f>D47&amp;".2"</f>
        <v>5.1.2</v>
      </c>
      <c r="E49" s="445" t="s">
        <v>333</v>
      </c>
      <c r="F49" s="1738" t="s">
        <v>28</v>
      </c>
      <c r="G49" s="450" t="s">
        <v>334</v>
      </c>
      <c r="H49" s="481"/>
      <c r="I49" s="858"/>
    </row>
    <row s="461" customFormat="1" customHeight="1" ht="22.5">
      <c r="A50" s="2208"/>
      <c r="B50" s="508"/>
      <c r="C50" s="2219"/>
      <c r="D50" s="446" t="str">
        <f>D47&amp;".3"</f>
        <v>5.1.3</v>
      </c>
      <c r="E50" s="445" t="s">
        <v>335</v>
      </c>
      <c r="F50" s="1983" t="s">
        <v>28</v>
      </c>
      <c r="G50" s="480"/>
      <c r="H50" s="481"/>
      <c r="I50" s="858"/>
    </row>
    <row s="461" customFormat="1" customHeight="1" ht="22.5">
      <c r="A51" s="2208"/>
      <c r="B51" s="508"/>
      <c r="C51" s="2219"/>
      <c r="D51" s="446" t="str">
        <f>D47&amp;".4"</f>
        <v>5.1.4</v>
      </c>
      <c r="E51" s="445" t="s">
        <v>336</v>
      </c>
      <c r="F51" s="1983" t="s">
        <v>28</v>
      </c>
      <c r="G51" s="450" t="s">
        <v>337</v>
      </c>
      <c r="H51" s="481"/>
      <c r="I51" s="858"/>
    </row>
    <row r="54" s="1821" customFormat="1" customHeight="1" ht="17.25">
      <c r="A54" s="1821" t="s">
        <v>1955</v>
      </c>
    </row>
    <row r="56" s="1618" customFormat="1" customHeight="1" ht="18.75">
      <c r="A56" s="95"/>
      <c r="B56" s="1829"/>
      <c r="C56" s="1829"/>
      <c r="D56" s="1830"/>
      <c r="E56" s="1815"/>
      <c r="F56" s="874">
        <v>13</v>
      </c>
      <c r="G56" s="873"/>
      <c r="H56" s="799"/>
      <c r="I56" s="797"/>
      <c r="J56" s="526" t="s">
        <v>62</v>
      </c>
      <c r="K56" s="1831" t="s">
        <v>28</v>
      </c>
      <c r="L56" s="95"/>
      <c r="M56" s="1642"/>
      <c r="N56" s="1642"/>
      <c r="O56" s="1642"/>
      <c r="P56" s="522" t="s">
        <v>408</v>
      </c>
      <c r="Q56" s="522" t="s">
        <v>409</v>
      </c>
      <c r="R56" s="523" t="s">
        <v>410</v>
      </c>
      <c r="S56" s="1642" t="s">
        <v>411</v>
      </c>
      <c r="T56" s="1642"/>
      <c r="U56" s="1642"/>
      <c r="V56" s="1642"/>
    </row>
    <row r="58" s="1821" customFormat="1" customHeight="1" ht="11.25">
      <c r="A58" s="1821" t="s">
        <v>1956</v>
      </c>
    </row>
    <row r="60" s="1641" customFormat="1" customHeight="1" ht="14.25">
      <c r="C60" s="1694"/>
      <c r="D60" s="1875"/>
      <c r="E60" s="1783" t="s">
        <v>28</v>
      </c>
      <c r="F60" s="1874"/>
      <c r="G60" s="862"/>
      <c r="H60" s="1784"/>
      <c r="I60" s="1784"/>
      <c r="J60" s="439"/>
      <c r="K60" s="1869"/>
      <c r="L60" s="438"/>
      <c r="M60" s="1869"/>
      <c r="N60" s="439"/>
      <c r="O60" s="1869"/>
      <c r="P60" s="439"/>
      <c r="Q60" s="1869"/>
      <c r="R60" s="439"/>
      <c r="S60" s="860"/>
      <c r="T60" s="1784"/>
      <c r="U60" s="439"/>
      <c r="V60" s="439"/>
      <c r="W60" s="1873"/>
      <c r="X60" s="1784"/>
      <c r="Y60" s="439"/>
      <c r="Z60" s="439"/>
      <c r="AA60" s="1873"/>
      <c r="AB60" s="1784"/>
      <c r="AC60" s="439"/>
      <c r="AD60" s="1873"/>
      <c r="AE60" s="95"/>
      <c r="AF60" s="95"/>
      <c r="AG60" s="95"/>
      <c r="AH60" s="95"/>
      <c r="AJ60" s="1642"/>
      <c r="AK60" s="1642"/>
      <c r="AL60" s="1642"/>
      <c r="AM60" s="1642"/>
      <c r="AN60" s="1642"/>
      <c r="AO60" s="1642"/>
      <c r="AP60" s="1630" t="s">
        <v>397</v>
      </c>
      <c r="AQ60" s="1630" t="s">
        <v>397</v>
      </c>
      <c r="AR60" s="1642"/>
      <c r="AS60" s="1642"/>
    </row>
    <row r="62" s="1821" customFormat="1" customHeight="1" ht="11.25">
      <c r="A62" s="1821" t="s">
        <v>1957</v>
      </c>
    </row>
    <row r="64" s="1829" customFormat="1" customHeight="1" ht="15">
      <c r="A64" s="151" t="s">
        <v>91</v>
      </c>
      <c r="B64" s="131" t="s">
        <v>28</v>
      </c>
      <c r="C64" s="1832"/>
      <c r="D64" s="134"/>
      <c r="E64" s="387"/>
      <c r="F64" s="387"/>
      <c r="G64" s="1809"/>
      <c r="H64" s="1831"/>
      <c r="I64" s="1810"/>
      <c r="K64" s="278"/>
      <c r="L64" s="279"/>
    </row>
    <row r="66" s="1821" customFormat="1" customHeight="1" ht="11.25">
      <c r="A66" s="1821" t="s">
        <v>1958</v>
      </c>
    </row>
    <row r="68" s="1641" customFormat="1" customHeight="1" ht="14.25">
      <c r="A68" s="349"/>
      <c r="B68" s="1166"/>
      <c r="C68" s="382"/>
      <c r="D68" s="1816"/>
      <c r="E68" s="892"/>
      <c r="F68" s="1831"/>
      <c r="G68" s="95"/>
      <c r="I68" s="1630"/>
      <c r="J68" s="1630"/>
    </row>
    <row r="70" s="1821" customFormat="1" customHeight="1" ht="11.25">
      <c r="A70" s="1821" t="s">
        <v>1959</v>
      </c>
    </row>
    <row r="72" s="1641" customFormat="1" customHeight="1" ht="27">
      <c r="A72" s="1172"/>
      <c r="B72" s="1172"/>
      <c r="C72" s="1172"/>
      <c r="D72" s="1166"/>
      <c r="E72" s="1833"/>
      <c r="F72" s="2587"/>
      <c r="G72" s="2588"/>
      <c r="H72" s="2589" t="s">
        <v>62</v>
      </c>
      <c r="I72" s="2591"/>
      <c r="J72" s="2554"/>
      <c r="K72" s="2593"/>
      <c r="L72" s="2556"/>
      <c r="M72" s="2556"/>
      <c r="N72" s="2557"/>
      <c r="O72" s="2557"/>
      <c r="P72" s="2558">
        <f>DATEDIF(DATEVALUE(N72),DATEVALUE(O72),"y")&amp;"г. "&amp;DATEDIF(DATEVALUE(N72),DATEVALUE(O72),"ym")&amp;"мес. "&amp;DATEVALUE(O72)-DATE(YEAR(DATEVALUE(O72)),MONTH(DATEVALUE(O72)),1)&amp;"дн. "</f>
      </c>
      <c r="Q72" s="2553"/>
      <c r="R72" s="2553"/>
      <c r="S72" s="2553"/>
      <c r="T72" s="2554"/>
      <c r="U72" s="2553"/>
      <c r="V72" s="2553"/>
      <c r="W72" s="2553"/>
      <c r="X72" s="2554"/>
      <c r="Y72" s="2551" t="s">
        <v>62</v>
      </c>
      <c r="Z72" s="1814"/>
      <c r="AA72" s="1798">
        <v>1</v>
      </c>
      <c r="AB72" s="1248"/>
      <c r="AD72" s="1642" t="s">
        <v>1960</v>
      </c>
    </row>
    <row s="1641" customFormat="1" customHeight="1" ht="10.5">
      <c r="A73" s="1172"/>
      <c r="B73" s="1172"/>
      <c r="C73" s="1172"/>
      <c r="D73" s="1166"/>
      <c r="E73" s="953"/>
      <c r="F73" s="2587"/>
      <c r="G73" s="2588"/>
      <c r="H73" s="2590"/>
      <c r="I73" s="2592"/>
      <c r="J73" s="2555"/>
      <c r="K73" s="2593"/>
      <c r="L73" s="2556"/>
      <c r="M73" s="2556"/>
      <c r="N73" s="2557"/>
      <c r="O73" s="2557"/>
      <c r="P73" s="2558"/>
      <c r="Q73" s="2553"/>
      <c r="R73" s="2553"/>
      <c r="S73" s="2553"/>
      <c r="T73" s="2555"/>
      <c r="U73" s="2553"/>
      <c r="V73" s="2553"/>
      <c r="W73" s="2553"/>
      <c r="X73" s="2555"/>
      <c r="Y73" s="2552"/>
      <c r="Z73" s="353"/>
      <c r="AA73" s="578"/>
      <c r="AB73" s="658" t="s">
        <v>1961</v>
      </c>
    </row>
    <row r="75" s="1821" customFormat="1" customHeight="1" ht="11.25">
      <c r="A75" s="1821" t="s">
        <v>1962</v>
      </c>
    </row>
    <row r="77" s="1641" customFormat="1" customHeight="1" ht="27">
      <c r="A77" s="1172"/>
      <c r="B77" s="1172"/>
      <c r="C77" s="1172"/>
      <c r="D77" s="1166"/>
      <c r="E77" s="1833"/>
      <c r="F77" s="1803"/>
      <c r="G77" s="1753"/>
      <c r="H77" s="1754"/>
      <c r="I77" s="1755"/>
      <c r="J77" s="1756"/>
      <c r="K77" s="1757"/>
      <c r="L77" s="1758"/>
      <c r="M77" s="1758"/>
      <c r="N77" s="1759"/>
      <c r="O77" s="1759"/>
      <c r="P77" s="1760"/>
      <c r="Q77" s="1761"/>
      <c r="R77" s="1761"/>
      <c r="S77" s="1761"/>
      <c r="T77" s="1756"/>
      <c r="U77" s="1761"/>
      <c r="V77" s="1761"/>
      <c r="W77" s="1761"/>
      <c r="X77" s="1756"/>
      <c r="Y77" s="1754"/>
      <c r="Z77" s="1814"/>
      <c r="AA77" s="1798">
        <v>1</v>
      </c>
      <c r="AB77" s="1248"/>
      <c r="AD77" s="1642" t="s">
        <v>1960</v>
      </c>
    </row>
    <row r="79" s="1821" customFormat="1" customHeight="1" ht="11.25">
      <c r="A79" s="1821" t="s">
        <v>1963</v>
      </c>
    </row>
    <row customHeight="1" ht="17.25"/>
    <row s="1641" customFormat="1" customHeight="1" ht="21">
      <c r="A81" s="1173"/>
      <c r="B81" s="1172"/>
      <c r="C81" s="1172"/>
      <c r="D81" s="1166"/>
      <c r="E81" s="1176"/>
      <c r="F81" s="1128">
        <f>INDEX(IP_MAIN_LIST_NAME_IP,MATCH(A81,IP_MAIN_LIST_IP_ID,0))&amp;" ("&amp;INDEX(IP_MAIN_START_DATE,MATCH(A81,IP_MAIN_LIST_IP_ID,0))&amp;"-"&amp;INDEX(IP_MAIN_END_DATE,MATCH(A81,IP_MAIN_LIST_IP_ID,0))&amp;")"</f>
      </c>
      <c r="G81" s="1129"/>
      <c r="H81" s="1129"/>
      <c r="I81" s="1191"/>
      <c r="J81" s="1191"/>
      <c r="K81" s="1192"/>
      <c r="L81" s="1192"/>
      <c r="M81" s="1192"/>
      <c r="N81" s="1193"/>
      <c r="O81" s="1193"/>
      <c r="P81" s="1193"/>
      <c r="Q81" s="1193"/>
      <c r="R81" s="1193"/>
      <c r="S81" s="1193"/>
      <c r="T81" s="1193"/>
      <c r="U81" s="1193"/>
      <c r="V81" s="1193"/>
      <c r="W81" s="1193"/>
      <c r="X81" s="1193"/>
      <c r="Y81" s="1193"/>
      <c r="Z81" s="1193"/>
      <c r="AA81" s="1193"/>
      <c r="AB81" s="1193"/>
      <c r="AC81" s="1193"/>
      <c r="AD81" s="1193"/>
      <c r="AE81" s="1194"/>
      <c r="AF81" s="1192"/>
      <c r="AG81" s="1192"/>
      <c r="AH81" s="1192"/>
      <c r="AI81" s="1192"/>
      <c r="AJ81" s="1192"/>
      <c r="AK81" s="1192"/>
      <c r="AL81" s="1994"/>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row>
    <row s="1641" customFormat="1" customHeight="1" ht="0.75">
      <c r="A82" s="1172"/>
      <c r="B82" s="1172"/>
      <c r="C82" s="1172"/>
      <c r="D82" s="1166"/>
      <c r="E82" s="1176"/>
      <c r="F82" s="2542"/>
      <c r="G82" s="2521"/>
      <c r="H82" s="2546" t="s">
        <v>392</v>
      </c>
      <c r="I82" s="2547"/>
      <c r="J82" s="2548"/>
      <c r="K82" s="2548"/>
      <c r="L82" s="2540"/>
      <c r="M82" s="2274"/>
      <c r="N82" s="2042"/>
      <c r="O82" s="2041"/>
      <c r="P82" s="2042"/>
      <c r="Q82" s="2042"/>
      <c r="R82" s="2042"/>
      <c r="S82" s="2042"/>
      <c r="T82" s="2042"/>
      <c r="U82" s="2042"/>
      <c r="V82" s="2042"/>
      <c r="W82" s="2042"/>
      <c r="X82" s="2042"/>
      <c r="Y82" s="2042"/>
      <c r="Z82" s="2042"/>
      <c r="AA82" s="2042"/>
      <c r="AB82" s="2042"/>
      <c r="AC82" s="2042"/>
      <c r="AD82" s="2042"/>
      <c r="AE82" s="2042"/>
      <c r="AF82" s="2544"/>
      <c r="AG82" s="2540"/>
      <c r="AH82" s="2540"/>
      <c r="AI82" s="2544"/>
      <c r="AJ82" s="2540"/>
      <c r="AK82" s="2540"/>
      <c r="AL82" s="1994"/>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row>
    <row s="1641" customFormat="1" customHeight="1" ht="0.75">
      <c r="A83" s="1172"/>
      <c r="B83" s="1172"/>
      <c r="C83" s="1172"/>
      <c r="D83" s="1166"/>
      <c r="E83" s="1176"/>
      <c r="F83" s="2542"/>
      <c r="G83" s="2521"/>
      <c r="H83" s="2546"/>
      <c r="I83" s="2547"/>
      <c r="J83" s="2548"/>
      <c r="K83" s="2548"/>
      <c r="L83" s="2540"/>
      <c r="M83" s="2274"/>
      <c r="N83" s="2549"/>
      <c r="O83" s="2550"/>
      <c r="P83" s="2594"/>
      <c r="Q83" s="2545"/>
      <c r="R83" s="2545"/>
      <c r="S83" s="2545"/>
      <c r="T83" s="2545"/>
      <c r="U83" s="2545"/>
      <c r="V83" s="2545"/>
      <c r="W83" s="2545"/>
      <c r="X83" s="2545"/>
      <c r="Y83" s="2545"/>
      <c r="Z83" s="2043"/>
      <c r="AA83" s="2044"/>
      <c r="AB83" s="2044"/>
      <c r="AC83" s="2045"/>
      <c r="AD83" s="2045"/>
      <c r="AE83" s="2046"/>
      <c r="AF83" s="2544"/>
      <c r="AG83" s="2540"/>
      <c r="AH83" s="2540"/>
      <c r="AI83" s="2544"/>
      <c r="AJ83" s="2540"/>
      <c r="AK83" s="2540"/>
      <c r="AL83" s="1994"/>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row>
    <row s="1641" customFormat="1" customHeight="1" ht="0.75">
      <c r="A84" s="1172"/>
      <c r="B84" s="1172"/>
      <c r="C84" s="1172"/>
      <c r="D84" s="1166"/>
      <c r="E84" s="1176"/>
      <c r="F84" s="2542"/>
      <c r="G84" s="2521"/>
      <c r="H84" s="2546"/>
      <c r="I84" s="2547"/>
      <c r="J84" s="2548"/>
      <c r="K84" s="2548"/>
      <c r="L84" s="2540"/>
      <c r="M84" s="2274"/>
      <c r="N84" s="2549"/>
      <c r="O84" s="2550"/>
      <c r="P84" s="2595"/>
      <c r="Q84" s="2545"/>
      <c r="R84" s="2545"/>
      <c r="S84" s="2545"/>
      <c r="T84" s="2545"/>
      <c r="U84" s="2545"/>
      <c r="V84" s="2545"/>
      <c r="W84" s="2545"/>
      <c r="X84" s="2545"/>
      <c r="Y84" s="2545"/>
      <c r="Z84" s="2047"/>
      <c r="AA84" s="2048"/>
      <c r="AB84" s="2049"/>
      <c r="AC84" s="2050"/>
      <c r="AD84" s="2049"/>
      <c r="AE84" s="2050"/>
      <c r="AF84" s="2544"/>
      <c r="AG84" s="2540"/>
      <c r="AH84" s="2540"/>
      <c r="AI84" s="2544"/>
      <c r="AJ84" s="2540"/>
      <c r="AK84" s="2540"/>
      <c r="AL84" s="1994"/>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row>
    <row s="1641" customFormat="1" customHeight="1" ht="0.75">
      <c r="A85" s="1172"/>
      <c r="B85" s="1172"/>
      <c r="C85" s="1172"/>
      <c r="D85" s="1166"/>
      <c r="E85" s="1176"/>
      <c r="F85" s="2542"/>
      <c r="G85" s="2521"/>
      <c r="H85" s="2546"/>
      <c r="I85" s="2547"/>
      <c r="J85" s="2548"/>
      <c r="K85" s="2548"/>
      <c r="L85" s="2540"/>
      <c r="M85" s="2274"/>
      <c r="N85" s="2549"/>
      <c r="O85" s="2550"/>
      <c r="P85" s="2596"/>
      <c r="Q85" s="2545"/>
      <c r="R85" s="2545"/>
      <c r="S85" s="2545"/>
      <c r="T85" s="2545"/>
      <c r="U85" s="2545"/>
      <c r="V85" s="2545"/>
      <c r="W85" s="2545"/>
      <c r="X85" s="2545"/>
      <c r="Y85" s="2545"/>
      <c r="Z85" s="2043"/>
      <c r="AA85" s="2044"/>
      <c r="AB85" s="2051"/>
      <c r="AC85" s="2045"/>
      <c r="AD85" s="2045"/>
      <c r="AE85" s="2052"/>
      <c r="AF85" s="2544"/>
      <c r="AG85" s="2540"/>
      <c r="AH85" s="2540"/>
      <c r="AI85" s="2544"/>
      <c r="AJ85" s="2540"/>
      <c r="AK85" s="2540"/>
      <c r="AL85" s="1994"/>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row>
    <row s="1641" customFormat="1" customHeight="1" ht="0.75">
      <c r="A86" s="1172"/>
      <c r="B86" s="1172"/>
      <c r="C86" s="1172"/>
      <c r="D86" s="1166"/>
      <c r="E86" s="1176"/>
      <c r="F86" s="2542"/>
      <c r="G86" s="2521"/>
      <c r="H86" s="2546"/>
      <c r="I86" s="2547"/>
      <c r="J86" s="2548"/>
      <c r="K86" s="2548"/>
      <c r="L86" s="2540"/>
      <c r="M86" s="2274"/>
      <c r="N86" s="2044"/>
      <c r="O86" s="2044"/>
      <c r="P86" s="2051"/>
      <c r="Q86" s="2044"/>
      <c r="R86" s="2044"/>
      <c r="S86" s="2044"/>
      <c r="T86" s="2044"/>
      <c r="U86" s="2044"/>
      <c r="V86" s="2044"/>
      <c r="W86" s="2044"/>
      <c r="X86" s="2044"/>
      <c r="Y86" s="2044"/>
      <c r="Z86" s="2044"/>
      <c r="AA86" s="2044"/>
      <c r="AB86" s="2044"/>
      <c r="AC86" s="2044"/>
      <c r="AD86" s="2044"/>
      <c r="AE86" s="2053"/>
      <c r="AF86" s="2544"/>
      <c r="AG86" s="2540"/>
      <c r="AH86" s="2540"/>
      <c r="AI86" s="2544"/>
      <c r="AJ86" s="2540"/>
      <c r="AK86" s="2540"/>
      <c r="AL86" s="1994"/>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row>
    <row s="1641" customFormat="1" customHeight="1" ht="12">
      <c r="A87" s="1172"/>
      <c r="B87" s="1172"/>
      <c r="C87" s="1172"/>
      <c r="D87" s="1166"/>
      <c r="E87" s="1176"/>
      <c r="F87" s="2543"/>
      <c r="G87" s="1196"/>
      <c r="H87" s="1196"/>
      <c r="I87" s="2541" t="s">
        <v>1964</v>
      </c>
      <c r="J87" s="2541"/>
      <c r="K87" s="2541"/>
      <c r="L87" s="1179"/>
      <c r="M87" s="1179"/>
      <c r="N87" s="1180"/>
      <c r="O87" s="1180"/>
      <c r="P87" s="1180"/>
      <c r="Q87" s="1180"/>
      <c r="R87" s="1180"/>
      <c r="S87" s="1180"/>
      <c r="T87" s="1180"/>
      <c r="U87" s="1180"/>
      <c r="V87" s="1180"/>
      <c r="W87" s="1180"/>
      <c r="X87" s="1180"/>
      <c r="Y87" s="1180"/>
      <c r="Z87" s="1180"/>
      <c r="AA87" s="1180"/>
      <c r="AB87" s="1180"/>
      <c r="AC87" s="1180"/>
      <c r="AD87" s="1180"/>
      <c r="AE87" s="1180"/>
      <c r="AF87" s="1180"/>
      <c r="AG87" s="1179"/>
      <c r="AH87" s="1179"/>
      <c r="AI87" s="1180"/>
      <c r="AJ87" s="1179"/>
      <c r="AK87" s="1180"/>
      <c r="AL87" s="1994"/>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row>
    <row r="89" s="1821" customFormat="1" customHeight="1" ht="11.25">
      <c r="A89" s="1821" t="s">
        <v>1965</v>
      </c>
    </row>
    <row r="91" s="1641" customFormat="1" customHeight="1" ht="11.25">
      <c r="A91" s="1172"/>
      <c r="B91" s="1172"/>
      <c r="C91" s="1172"/>
      <c r="D91" s="1166"/>
      <c r="E91" s="1176"/>
      <c r="F91" s="1835"/>
      <c r="G91" s="1836"/>
      <c r="H91" s="1836"/>
      <c r="I91" s="1770"/>
      <c r="J91" s="1770"/>
      <c r="K91" s="1837"/>
      <c r="L91" s="1770"/>
      <c r="M91" s="1836"/>
      <c r="N91" s="2514"/>
      <c r="O91" s="2597">
        <v>1</v>
      </c>
      <c r="P91" s="2516" t="s">
        <v>19</v>
      </c>
      <c r="Q91" s="2519" t="s">
        <v>28</v>
      </c>
      <c r="R91" s="2519" t="s">
        <v>28</v>
      </c>
      <c r="S91" s="2519" t="s">
        <v>28</v>
      </c>
      <c r="T91" s="2519" t="s">
        <v>28</v>
      </c>
      <c r="U91" s="2519" t="s">
        <v>28</v>
      </c>
      <c r="V91" s="2519" t="s">
        <v>28</v>
      </c>
      <c r="W91" s="2519" t="s">
        <v>28</v>
      </c>
      <c r="X91" s="2519" t="s">
        <v>28</v>
      </c>
      <c r="Y91" s="2519"/>
      <c r="Z91" s="1181"/>
      <c r="AA91" s="1182"/>
      <c r="AB91" s="1182"/>
      <c r="AC91" s="1186"/>
      <c r="AD91" s="1186"/>
      <c r="AE91" s="1186"/>
      <c r="AF91" s="1838"/>
      <c r="AG91" s="1765"/>
      <c r="AH91" s="1765"/>
      <c r="AI91" s="1838"/>
      <c r="AJ91" s="1765"/>
      <c r="AK91" s="1993"/>
      <c r="AL91" s="1994"/>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row>
    <row s="1641" customFormat="1" customHeight="1" ht="11.25">
      <c r="A92" s="1172"/>
      <c r="B92" s="1172"/>
      <c r="C92" s="1172"/>
      <c r="D92" s="1166"/>
      <c r="E92" s="1176"/>
      <c r="F92" s="1835"/>
      <c r="G92" s="1836"/>
      <c r="H92" s="1836"/>
      <c r="I92" s="1771"/>
      <c r="J92" s="1771"/>
      <c r="K92" s="1837"/>
      <c r="L92" s="1771"/>
      <c r="M92" s="1836"/>
      <c r="N92" s="2514"/>
      <c r="O92" s="2597"/>
      <c r="P92" s="2517"/>
      <c r="Q92" s="2519"/>
      <c r="R92" s="2519"/>
      <c r="S92" s="2520"/>
      <c r="T92" s="2519"/>
      <c r="U92" s="2519"/>
      <c r="V92" s="2519"/>
      <c r="W92" s="2519"/>
      <c r="X92" s="2519"/>
      <c r="Y92" s="2519"/>
      <c r="Z92" s="1834"/>
      <c r="AA92" s="1800">
        <v>1</v>
      </c>
      <c r="AB92" s="1185"/>
      <c r="AC92" s="1175"/>
      <c r="AD92" s="1185">
        <f>AB92</f>
        <v>0</v>
      </c>
      <c r="AE92" s="730"/>
      <c r="AF92" s="1837"/>
      <c r="AG92" s="1765"/>
      <c r="AH92" s="1765"/>
      <c r="AI92" s="1837"/>
      <c r="AJ92" s="1765"/>
      <c r="AK92" s="1993"/>
      <c r="AL92" s="1994"/>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row>
    <row s="1641" customFormat="1" customHeight="1" ht="11.25">
      <c r="A93" s="1172"/>
      <c r="B93" s="1172"/>
      <c r="C93" s="1172"/>
      <c r="D93" s="1166"/>
      <c r="E93" s="1176"/>
      <c r="F93" s="1835"/>
      <c r="G93" s="1836"/>
      <c r="H93" s="1836"/>
      <c r="I93" s="1772"/>
      <c r="J93" s="1772"/>
      <c r="K93" s="1837"/>
      <c r="L93" s="1772"/>
      <c r="M93" s="1836"/>
      <c r="N93" s="2514"/>
      <c r="O93" s="2597"/>
      <c r="P93" s="2518"/>
      <c r="Q93" s="2519"/>
      <c r="R93" s="2519"/>
      <c r="S93" s="2520"/>
      <c r="T93" s="2519"/>
      <c r="U93" s="2519"/>
      <c r="V93" s="2519"/>
      <c r="W93" s="2519"/>
      <c r="X93" s="2519"/>
      <c r="Y93" s="2519"/>
      <c r="Z93" s="1181"/>
      <c r="AA93" s="1182"/>
      <c r="AB93" s="1247" t="s">
        <v>1966</v>
      </c>
      <c r="AC93" s="1186"/>
      <c r="AD93" s="1186"/>
      <c r="AE93" s="1186"/>
      <c r="AF93" s="1839"/>
      <c r="AG93" s="1765"/>
      <c r="AH93" s="1765"/>
      <c r="AI93" s="1839"/>
      <c r="AJ93" s="1765"/>
      <c r="AK93" s="1993"/>
      <c r="AL93" s="1994"/>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row>
    <row r="95" s="1821" customFormat="1" customHeight="1" ht="11.25">
      <c r="A95" s="1821" t="s">
        <v>1967</v>
      </c>
    </row>
    <row r="97" s="1641" customFormat="1" customHeight="1" ht="11.25">
      <c r="A97" s="1172"/>
      <c r="B97" s="1172"/>
      <c r="C97" s="1172"/>
      <c r="D97" s="1166"/>
      <c r="E97" s="1176"/>
      <c r="F97" s="1836"/>
      <c r="G97" s="1836"/>
      <c r="H97" s="1836"/>
      <c r="I97" s="1836"/>
      <c r="J97" s="1836"/>
      <c r="K97" s="1836"/>
      <c r="L97" s="1836"/>
      <c r="M97" s="1836"/>
      <c r="N97" s="1836"/>
      <c r="O97" s="1836"/>
      <c r="P97" s="1836"/>
      <c r="Q97" s="1836"/>
      <c r="R97" s="1836"/>
      <c r="S97" s="1836"/>
      <c r="T97" s="1836"/>
      <c r="U97" s="1836"/>
      <c r="V97" s="1836"/>
      <c r="W97" s="1836"/>
      <c r="X97" s="1836"/>
      <c r="Y97" s="1836"/>
      <c r="Z97" s="1840"/>
      <c r="AA97" s="1820">
        <v>1</v>
      </c>
      <c r="AB97" s="1185"/>
      <c r="AC97" s="1175"/>
      <c r="AD97" s="1185">
        <f>AB97</f>
        <v>0</v>
      </c>
      <c r="AE97" s="1175"/>
      <c r="AF97" s="1837"/>
      <c r="AG97" s="1765"/>
      <c r="AH97" s="1765"/>
      <c r="AI97" s="1837"/>
      <c r="AJ97" s="1765"/>
      <c r="AK97" s="1993"/>
      <c r="AL97" s="1994"/>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row>
    <row r="99" s="1821" customFormat="1" customHeight="1" ht="11.25">
      <c r="A99" s="1821" t="s">
        <v>1968</v>
      </c>
    </row>
    <row r="101" s="1641" customFormat="1" customHeight="1" ht="11.25">
      <c r="A101" s="1172"/>
      <c r="B101" s="1172"/>
      <c r="C101" s="1172"/>
      <c r="D101" s="1166"/>
      <c r="E101" s="1176"/>
      <c r="F101" s="1835"/>
      <c r="G101" s="1836"/>
      <c r="H101" s="2521" t="s">
        <v>111</v>
      </c>
      <c r="I101" s="2522"/>
      <c r="J101" s="2491"/>
      <c r="K101" s="2523"/>
      <c r="L101" s="2113" t="s">
        <v>19</v>
      </c>
      <c r="M101" s="2114"/>
      <c r="N101" s="1992"/>
      <c r="O101" s="1183" t="s">
        <v>392</v>
      </c>
      <c r="P101" s="1184"/>
      <c r="Q101" s="1184"/>
      <c r="R101" s="1184"/>
      <c r="S101" s="1184"/>
      <c r="T101" s="1184"/>
      <c r="U101" s="1184"/>
      <c r="V101" s="1184"/>
      <c r="W101" s="1184"/>
      <c r="X101" s="1184"/>
      <c r="Y101" s="1184"/>
      <c r="Z101" s="1184"/>
      <c r="AA101" s="1184"/>
      <c r="AB101" s="1184"/>
      <c r="AC101" s="1184"/>
      <c r="AD101" s="1184"/>
      <c r="AE101" s="1184"/>
      <c r="AF101" s="2512"/>
      <c r="AG101" s="2513"/>
      <c r="AH101" s="2513"/>
      <c r="AI101" s="2512"/>
      <c r="AJ101" s="2513"/>
      <c r="AK101" s="2513"/>
      <c r="AL101" s="1994"/>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row>
    <row s="1641" customFormat="1" customHeight="1" ht="11.25">
      <c r="A102" s="1172"/>
      <c r="B102" s="1172"/>
      <c r="C102" s="1172"/>
      <c r="D102" s="1166"/>
      <c r="E102" s="1176"/>
      <c r="F102" s="1835"/>
      <c r="G102" s="1836"/>
      <c r="H102" s="2521"/>
      <c r="I102" s="2522"/>
      <c r="J102" s="2491"/>
      <c r="K102" s="2523"/>
      <c r="L102" s="2113"/>
      <c r="M102" s="2114"/>
      <c r="N102" s="2514"/>
      <c r="O102" s="2515">
        <v>1</v>
      </c>
      <c r="P102" s="2516" t="s">
        <v>19</v>
      </c>
      <c r="Q102" s="2519" t="s">
        <v>28</v>
      </c>
      <c r="R102" s="2519" t="s">
        <v>28</v>
      </c>
      <c r="S102" s="2519" t="s">
        <v>28</v>
      </c>
      <c r="T102" s="2519" t="s">
        <v>28</v>
      </c>
      <c r="U102" s="2519" t="s">
        <v>28</v>
      </c>
      <c r="V102" s="2519" t="s">
        <v>28</v>
      </c>
      <c r="W102" s="2519" t="s">
        <v>28</v>
      </c>
      <c r="X102" s="2519" t="s">
        <v>28</v>
      </c>
      <c r="Y102" s="2519"/>
      <c r="Z102" s="1181"/>
      <c r="AA102" s="1182"/>
      <c r="AB102" s="1182"/>
      <c r="AC102" s="1186"/>
      <c r="AD102" s="1186"/>
      <c r="AE102" s="1187"/>
      <c r="AF102" s="2512"/>
      <c r="AG102" s="2513"/>
      <c r="AH102" s="2513"/>
      <c r="AI102" s="2512"/>
      <c r="AJ102" s="2513"/>
      <c r="AK102" s="2513"/>
      <c r="AL102" s="1994"/>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row>
    <row s="1641" customFormat="1" customHeight="1" ht="11.25">
      <c r="A103" s="1172"/>
      <c r="B103" s="1172"/>
      <c r="C103" s="1172"/>
      <c r="D103" s="1166"/>
      <c r="E103" s="1176"/>
      <c r="F103" s="1835"/>
      <c r="G103" s="1836"/>
      <c r="H103" s="2521"/>
      <c r="I103" s="2522"/>
      <c r="J103" s="2491"/>
      <c r="K103" s="2523"/>
      <c r="L103" s="2113"/>
      <c r="M103" s="2114"/>
      <c r="N103" s="2514"/>
      <c r="O103" s="2515"/>
      <c r="P103" s="2517"/>
      <c r="Q103" s="2519"/>
      <c r="R103" s="2519"/>
      <c r="S103" s="2520"/>
      <c r="T103" s="2519"/>
      <c r="U103" s="2519"/>
      <c r="V103" s="2519"/>
      <c r="W103" s="2519"/>
      <c r="X103" s="2519"/>
      <c r="Y103" s="2519"/>
      <c r="Z103" s="1834"/>
      <c r="AA103" s="1800">
        <v>1</v>
      </c>
      <c r="AB103" s="1185"/>
      <c r="AC103" s="1175"/>
      <c r="AD103" s="1185">
        <f>AB103</f>
        <v>0</v>
      </c>
      <c r="AE103" s="1175"/>
      <c r="AF103" s="2512"/>
      <c r="AG103" s="2513"/>
      <c r="AH103" s="2513"/>
      <c r="AI103" s="2512"/>
      <c r="AJ103" s="2513"/>
      <c r="AK103" s="2513"/>
      <c r="AL103" s="1994"/>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row>
    <row s="1641" customFormat="1" customHeight="1" ht="11.25">
      <c r="A104" s="1172"/>
      <c r="B104" s="1172"/>
      <c r="C104" s="1172"/>
      <c r="D104" s="1166"/>
      <c r="E104" s="1176"/>
      <c r="F104" s="1835"/>
      <c r="G104" s="1836"/>
      <c r="H104" s="2521"/>
      <c r="I104" s="2522"/>
      <c r="J104" s="2491"/>
      <c r="K104" s="2523"/>
      <c r="L104" s="2113"/>
      <c r="M104" s="2114"/>
      <c r="N104" s="2514"/>
      <c r="O104" s="2515"/>
      <c r="P104" s="2518"/>
      <c r="Q104" s="2519"/>
      <c r="R104" s="2519"/>
      <c r="S104" s="2520"/>
      <c r="T104" s="2519"/>
      <c r="U104" s="2519"/>
      <c r="V104" s="2519"/>
      <c r="W104" s="2519"/>
      <c r="X104" s="2519"/>
      <c r="Y104" s="2519"/>
      <c r="Z104" s="1181"/>
      <c r="AA104" s="1182"/>
      <c r="AB104" s="1247" t="s">
        <v>1966</v>
      </c>
      <c r="AC104" s="1186"/>
      <c r="AD104" s="1186"/>
      <c r="AE104" s="1188"/>
      <c r="AF104" s="2512"/>
      <c r="AG104" s="2513"/>
      <c r="AH104" s="2513"/>
      <c r="AI104" s="2512"/>
      <c r="AJ104" s="2513"/>
      <c r="AK104" s="2513"/>
      <c r="AL104" s="1994"/>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row>
    <row s="1641" customFormat="1" customHeight="1" ht="11.25">
      <c r="A105" s="1172"/>
      <c r="B105" s="1172"/>
      <c r="C105" s="1172"/>
      <c r="D105" s="1166"/>
      <c r="E105" s="1176"/>
      <c r="F105" s="1835"/>
      <c r="G105" s="1836"/>
      <c r="H105" s="2521"/>
      <c r="I105" s="2522"/>
      <c r="J105" s="2491"/>
      <c r="K105" s="2523"/>
      <c r="L105" s="2113"/>
      <c r="M105" s="2114"/>
      <c r="N105" s="1181"/>
      <c r="O105" s="1182"/>
      <c r="P105" s="1174" t="s">
        <v>1969</v>
      </c>
      <c r="Q105" s="1182"/>
      <c r="R105" s="1182"/>
      <c r="S105" s="1182"/>
      <c r="T105" s="1182"/>
      <c r="U105" s="1182"/>
      <c r="V105" s="1182"/>
      <c r="W105" s="1182"/>
      <c r="X105" s="1182"/>
      <c r="Y105" s="1182"/>
      <c r="Z105" s="1182"/>
      <c r="AA105" s="1182"/>
      <c r="AB105" s="1182"/>
      <c r="AC105" s="1182"/>
      <c r="AD105" s="1182"/>
      <c r="AE105" s="1189"/>
      <c r="AF105" s="2512"/>
      <c r="AG105" s="2513"/>
      <c r="AH105" s="2513"/>
      <c r="AI105" s="2512"/>
      <c r="AJ105" s="2513"/>
      <c r="AK105" s="2513"/>
      <c r="AL105" s="1994"/>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row>
    <row r="107" s="1821" customFormat="1" customHeight="1" ht="11.25">
      <c r="A107" s="1821" t="s">
        <v>1970</v>
      </c>
    </row>
    <row customHeight="1" ht="17.25"/>
    <row s="931" customFormat="1" customHeight="1" ht="21">
      <c r="A109" s="1173"/>
      <c r="B109" s="946"/>
      <c r="D109" s="930"/>
      <c r="E109" s="945" t="s">
        <v>28</v>
      </c>
      <c r="F109" s="1127">
        <f>INDEX(IP_MAIN_LIST_NAME_IP,MATCH(A109,IP_MAIN_LIST_IP_ID,0))&amp;" ("&amp;INDEX(IP_MAIN_START_DATE,MATCH(A109,IP_MAIN_LIST_IP_ID,0))&amp;"-"&amp;INDEX(IP_MAIN_END_DATE,MATCH(A109,IP_MAIN_LIST_IP_ID,0))&amp;")"</f>
      </c>
      <c r="G109" s="1209"/>
      <c r="H109" s="1210"/>
      <c r="I109" s="1210"/>
      <c r="J109" s="1210"/>
      <c r="K109" s="1210"/>
      <c r="L109" s="1210"/>
      <c r="M109" s="1210"/>
      <c r="N109" s="1210"/>
      <c r="O109" s="1209"/>
      <c r="P109" s="1209"/>
      <c r="Q109" s="1209"/>
      <c r="R109" s="1209"/>
      <c r="S109" s="1209"/>
      <c r="T109" s="1209"/>
      <c r="U109" s="1211"/>
      <c r="V109" s="1211"/>
      <c r="W109" s="1211"/>
      <c r="X109" s="1211"/>
      <c r="Y109" s="1211"/>
      <c r="Z109" s="1211"/>
      <c r="AA109" s="1211"/>
      <c r="AB109" s="1209"/>
      <c r="AC109" s="1210"/>
      <c r="AD109" s="1210"/>
      <c r="AE109" s="1210"/>
      <c r="AF109" s="1210"/>
      <c r="AG109" s="1210"/>
      <c r="AH109" s="1210"/>
      <c r="AI109" s="1210"/>
      <c r="AJ109" s="1210"/>
      <c r="AK109" s="1210"/>
      <c r="AL109" s="1210"/>
      <c r="AM109" s="1210"/>
      <c r="AN109" s="1210"/>
      <c r="AO109" s="1210"/>
      <c r="AP109" s="1210"/>
      <c r="AQ109" s="1210"/>
      <c r="AR109" s="1210"/>
      <c r="AS109" s="1210"/>
      <c r="AT109" s="1210"/>
      <c r="AU109" s="1210"/>
      <c r="AV109" s="1210"/>
      <c r="AW109" s="1210"/>
      <c r="AX109" s="1210"/>
      <c r="AY109" s="1210"/>
      <c r="AZ109" s="1210"/>
      <c r="BA109" s="1210"/>
      <c r="BB109" s="1210"/>
      <c r="BC109" s="1210"/>
      <c r="BD109" s="1210"/>
      <c r="BE109" s="1210"/>
      <c r="BF109" s="1210"/>
      <c r="BG109" s="1210"/>
      <c r="BH109" s="1210"/>
      <c r="BI109" s="1210"/>
      <c r="BJ109" s="1210"/>
      <c r="BK109" s="1210"/>
      <c r="BL109" s="1210"/>
      <c r="BM109" s="1210"/>
      <c r="BN109" s="1210"/>
      <c r="BO109" s="1210"/>
      <c r="BP109" s="1210"/>
      <c r="BQ109" s="1210"/>
      <c r="BR109" s="1210"/>
      <c r="BS109" s="1210"/>
      <c r="BT109" s="1210"/>
      <c r="BU109" s="1210"/>
      <c r="BV109" s="1210"/>
      <c r="BW109" s="1210"/>
      <c r="BX109" s="1210"/>
      <c r="BY109" s="1210"/>
      <c r="BZ109" s="1210"/>
      <c r="CA109" s="1210"/>
      <c r="CB109" s="1210"/>
      <c r="CC109" s="1210"/>
      <c r="CD109" s="1210"/>
      <c r="CE109" s="1210"/>
      <c r="CF109" s="1210"/>
      <c r="CG109" s="1210"/>
      <c r="CH109" s="1210"/>
      <c r="CI109" s="1210"/>
      <c r="CJ109" s="1210"/>
      <c r="CK109" s="1210"/>
      <c r="CL109" s="1212"/>
      <c r="CM109" s="1212"/>
      <c r="CN109" s="1212"/>
      <c r="CO109" s="1212"/>
      <c r="CP109" s="1212"/>
      <c r="CQ109" s="1212"/>
      <c r="CR109" s="1212"/>
      <c r="CS109" s="1212"/>
      <c r="CT109" s="1212"/>
      <c r="CU109" s="1212"/>
      <c r="CV109" s="1212"/>
      <c r="CW109" s="1212"/>
      <c r="CX109" s="1212"/>
      <c r="CY109" s="1212"/>
      <c r="CZ109" s="1212"/>
      <c r="DA109" s="1212"/>
      <c r="DB109" s="1212"/>
      <c r="DC109" s="1212"/>
      <c r="DD109" s="1212"/>
      <c r="DE109" s="1212"/>
      <c r="DF109" s="1212"/>
      <c r="DG109" s="1212"/>
      <c r="DH109" s="1212"/>
      <c r="DI109" s="1212"/>
      <c r="DJ109" s="1212"/>
      <c r="DK109" s="1212"/>
      <c r="DL109" s="1212"/>
      <c r="DM109" s="1212"/>
      <c r="DN109" s="1212"/>
      <c r="DO109" s="1212"/>
      <c r="DP109" s="1212"/>
      <c r="DQ109" s="1212"/>
      <c r="DR109" s="1212"/>
      <c r="DS109" s="1212"/>
      <c r="DT109" s="1212"/>
      <c r="DU109" s="1212"/>
      <c r="DV109" s="1212"/>
      <c r="DW109" s="1212"/>
      <c r="DX109" s="1212"/>
      <c r="DY109" s="1212"/>
      <c r="DZ109" s="1212"/>
      <c r="EA109" s="1212"/>
      <c r="EB109" s="1212"/>
      <c r="EC109" s="1212"/>
      <c r="ED109" s="1212"/>
      <c r="EE109" s="1212"/>
      <c r="EF109" s="1212"/>
      <c r="EG109" s="1212"/>
      <c r="EH109" s="1212"/>
      <c r="EI109" s="1212"/>
      <c r="EJ109" s="1212"/>
      <c r="EK109" s="1212"/>
      <c r="EL109" s="1212"/>
      <c r="EM109" s="1212"/>
      <c r="EN109" s="1212"/>
      <c r="EO109" s="1212"/>
      <c r="EP109" s="1212"/>
      <c r="EQ109" s="1212"/>
      <c r="ER109" s="1212"/>
      <c r="ES109" s="1212"/>
      <c r="ET109" s="1212"/>
      <c r="EU109" s="1212"/>
      <c r="EV109" s="1212"/>
      <c r="EW109" s="1212"/>
      <c r="EX109" s="1212"/>
      <c r="EY109" s="1212"/>
      <c r="EZ109" s="1212"/>
      <c r="FA109" s="1212"/>
      <c r="FB109" s="1212"/>
      <c r="FC109" s="1212"/>
      <c r="FD109" s="1212"/>
      <c r="FE109" s="1212"/>
      <c r="FF109" s="1212"/>
      <c r="FG109" s="1212"/>
      <c r="FH109" s="1212"/>
      <c r="FI109" s="1212"/>
      <c r="FJ109" s="1212"/>
      <c r="FK109" s="1212"/>
      <c r="FL109" s="1212"/>
      <c r="FM109" s="1212"/>
      <c r="FN109" s="1212"/>
      <c r="FO109" s="1212"/>
      <c r="FP109" s="1212"/>
      <c r="FQ109" s="1212"/>
      <c r="FR109" s="1212"/>
      <c r="FS109" s="1212"/>
      <c r="FT109" s="1212"/>
      <c r="FU109" s="1212"/>
      <c r="FV109" s="1213"/>
      <c r="FW109" s="1207"/>
      <c r="FX109" s="1208"/>
    </row>
    <row s="931" customFormat="1" customHeight="1" ht="24.75">
      <c r="B110" s="929"/>
      <c r="C110" s="930"/>
      <c r="D110" s="930"/>
      <c r="E110" s="1841"/>
      <c r="F110" s="1214">
        <v>1</v>
      </c>
      <c r="G110" s="1215"/>
      <c r="H110" s="1216"/>
      <c r="I110" s="1988"/>
      <c r="J110" s="1217"/>
      <c r="K110" s="1217"/>
      <c r="L110" s="1217"/>
      <c r="M110" s="1217"/>
      <c r="N110" s="1217"/>
      <c r="O110" s="1218"/>
      <c r="P110" s="1218"/>
      <c r="Q110" s="1218"/>
      <c r="R110" s="1218"/>
      <c r="S110" s="1218"/>
      <c r="T110" s="1218"/>
      <c r="U110" s="1218"/>
      <c r="V110" s="1218"/>
      <c r="W110" s="1218"/>
      <c r="X110" s="1218"/>
      <c r="Y110" s="1218"/>
      <c r="Z110" s="1218"/>
      <c r="AA110" s="1218"/>
      <c r="AB110" s="1218"/>
      <c r="AC110" s="1217"/>
      <c r="AD110" s="1217"/>
      <c r="AE110" s="1217"/>
      <c r="AF110" s="1217"/>
      <c r="AG110" s="1217"/>
      <c r="AH110" s="1217"/>
      <c r="AI110" s="1217"/>
      <c r="AJ110" s="1217"/>
      <c r="AK110" s="1217"/>
      <c r="AL110" s="1217"/>
      <c r="AM110" s="1217"/>
      <c r="AN110" s="1217"/>
      <c r="AO110" s="1217"/>
      <c r="AP110" s="1217"/>
      <c r="AQ110" s="1217"/>
      <c r="AR110" s="1217"/>
      <c r="AS110" s="1217"/>
      <c r="AT110" s="1217"/>
      <c r="AU110" s="1217"/>
      <c r="AV110" s="1217"/>
      <c r="AW110" s="1217"/>
      <c r="AX110" s="1217"/>
      <c r="AY110" s="1217"/>
      <c r="AZ110" s="1217"/>
      <c r="BA110" s="1217"/>
      <c r="BB110" s="1217"/>
      <c r="BC110" s="1217"/>
      <c r="BD110" s="1217"/>
      <c r="BE110" s="1217"/>
      <c r="BF110" s="1217"/>
      <c r="BG110" s="1217"/>
      <c r="BH110" s="1217"/>
      <c r="BI110" s="1217"/>
      <c r="BJ110" s="1217"/>
      <c r="BK110" s="1217"/>
      <c r="BL110" s="1217"/>
      <c r="BM110" s="1217"/>
      <c r="BN110" s="1217"/>
      <c r="BO110" s="1217"/>
      <c r="BP110" s="1217"/>
      <c r="BQ110" s="1217"/>
      <c r="BR110" s="1217"/>
      <c r="BS110" s="1217"/>
      <c r="BT110" s="1218"/>
      <c r="BU110" s="1218"/>
      <c r="BV110" s="1218"/>
      <c r="BW110" s="1218"/>
      <c r="BX110" s="1218"/>
      <c r="BY110" s="1218"/>
      <c r="BZ110" s="1218"/>
      <c r="CA110" s="1218"/>
      <c r="CB110" s="1218"/>
      <c r="CC110" s="1218"/>
      <c r="CD110" s="1218"/>
      <c r="CE110" s="1218"/>
      <c r="CF110" s="1218"/>
      <c r="CG110" s="1218"/>
      <c r="CH110" s="1218"/>
      <c r="CI110" s="1218"/>
      <c r="CJ110" s="1218"/>
      <c r="CK110" s="1218"/>
      <c r="CL110" s="1217"/>
      <c r="CM110" s="1217"/>
      <c r="CN110" s="1217"/>
      <c r="CO110" s="1217"/>
      <c r="CP110" s="1217"/>
      <c r="CQ110" s="1217"/>
      <c r="CR110" s="1217"/>
      <c r="CS110" s="1217"/>
      <c r="CT110" s="1217"/>
      <c r="CU110" s="1217"/>
      <c r="CV110" s="1217"/>
      <c r="CW110" s="1217"/>
      <c r="CX110" s="1217"/>
      <c r="CY110" s="1218"/>
      <c r="CZ110" s="1218"/>
      <c r="DA110" s="1218"/>
      <c r="DB110" s="1218"/>
      <c r="DC110" s="1218"/>
      <c r="DD110" s="1218"/>
      <c r="DE110" s="1218"/>
      <c r="DF110" s="1218"/>
      <c r="DG110" s="1218"/>
      <c r="DH110" s="1218"/>
      <c r="DI110" s="1218"/>
      <c r="DJ110" s="1218"/>
      <c r="DK110" s="1217"/>
      <c r="DL110" s="1217"/>
      <c r="DM110" s="1217"/>
      <c r="DN110" s="1217"/>
      <c r="DO110" s="1217"/>
      <c r="DP110" s="1217"/>
      <c r="DQ110" s="1217"/>
      <c r="DR110" s="1217"/>
      <c r="DS110" s="1217"/>
      <c r="DT110" s="1217"/>
      <c r="DU110" s="1217"/>
      <c r="DV110" s="1217"/>
      <c r="DW110" s="1217"/>
      <c r="DX110" s="1217"/>
      <c r="DY110" s="1217"/>
      <c r="DZ110" s="1217"/>
      <c r="EA110" s="1217"/>
      <c r="EB110" s="1217"/>
      <c r="EC110" s="1217"/>
      <c r="ED110" s="1217"/>
      <c r="EE110" s="1217"/>
      <c r="EF110" s="1217"/>
      <c r="EG110" s="1217"/>
      <c r="EH110" s="1217"/>
      <c r="EI110" s="1217"/>
      <c r="EJ110" s="1217"/>
      <c r="EK110" s="1217"/>
      <c r="EL110" s="1217"/>
      <c r="EM110" s="1217"/>
      <c r="EN110" s="1217"/>
      <c r="EO110" s="1217"/>
      <c r="EP110" s="1217"/>
      <c r="EQ110" s="1217"/>
      <c r="ER110" s="1217"/>
      <c r="ES110" s="1217"/>
      <c r="ET110" s="1217"/>
      <c r="EU110" s="1217"/>
      <c r="EV110" s="1217"/>
      <c r="EW110" s="1217"/>
      <c r="EX110" s="1217"/>
      <c r="EY110" s="1217"/>
      <c r="EZ110" s="1217"/>
      <c r="FA110" s="1217"/>
      <c r="FB110" s="1217"/>
      <c r="FC110" s="1217"/>
      <c r="FD110" s="1217"/>
      <c r="FE110" s="1217"/>
      <c r="FF110" s="1217"/>
      <c r="FG110" s="1217"/>
      <c r="FH110" s="1217"/>
      <c r="FI110" s="1217"/>
      <c r="FJ110" s="1217"/>
      <c r="FK110" s="1217"/>
      <c r="FL110" s="1217"/>
      <c r="FM110" s="1217"/>
      <c r="FN110" s="1217"/>
      <c r="FO110" s="1217"/>
      <c r="FP110" s="1217"/>
      <c r="FQ110" s="1217"/>
      <c r="FR110" s="1217"/>
      <c r="FS110" s="1217"/>
      <c r="FT110" s="1217"/>
      <c r="FU110" s="1217"/>
      <c r="FV110" s="1217"/>
      <c r="FW110" s="1217"/>
      <c r="FX110" s="1208"/>
    </row>
    <row s="931" customFormat="1" customHeight="1" ht="12">
      <c r="A111" s="930"/>
      <c r="B111" s="929"/>
      <c r="C111" s="930"/>
      <c r="D111" s="930"/>
      <c r="E111" s="930"/>
      <c r="F111" s="1219"/>
      <c r="G111" s="1806" t="s">
        <v>1971</v>
      </c>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220"/>
      <c r="AH111" s="1220"/>
      <c r="AI111" s="1220"/>
      <c r="AJ111" s="1220"/>
      <c r="AK111" s="1220"/>
      <c r="AL111" s="1220"/>
      <c r="AM111" s="1220"/>
      <c r="AN111" s="1220"/>
      <c r="AO111" s="1220"/>
      <c r="AP111" s="1220"/>
      <c r="AQ111" s="1220"/>
      <c r="AR111" s="1220"/>
      <c r="AS111" s="1220"/>
      <c r="AT111" s="1220"/>
      <c r="AU111" s="1220"/>
      <c r="AV111" s="1220"/>
      <c r="AW111" s="1220"/>
      <c r="AX111" s="1220"/>
      <c r="AY111" s="1220"/>
      <c r="AZ111" s="1220"/>
      <c r="BA111" s="1220"/>
      <c r="BB111" s="1220"/>
      <c r="BC111" s="1220"/>
      <c r="BD111" s="1220"/>
      <c r="BE111" s="1220"/>
      <c r="BF111" s="1220"/>
      <c r="BG111" s="1220"/>
      <c r="BH111" s="1220"/>
      <c r="BI111" s="1220"/>
      <c r="BJ111" s="1220"/>
      <c r="BK111" s="1220"/>
      <c r="BL111" s="1220"/>
      <c r="BM111" s="1220"/>
      <c r="BN111" s="1220"/>
      <c r="BO111" s="1220"/>
      <c r="BP111" s="1220"/>
      <c r="BQ111" s="1220"/>
      <c r="BR111" s="1220"/>
      <c r="BS111" s="1220"/>
      <c r="BT111" s="1220"/>
      <c r="BU111" s="1220"/>
      <c r="BV111" s="1220"/>
      <c r="BW111" s="1220"/>
      <c r="BX111" s="1220"/>
      <c r="BY111" s="1220"/>
      <c r="BZ111" s="1220"/>
      <c r="CA111" s="1220"/>
      <c r="CB111" s="1220"/>
      <c r="CC111" s="1220"/>
      <c r="CD111" s="1220"/>
      <c r="CE111" s="1220"/>
      <c r="CF111" s="1220"/>
      <c r="CG111" s="1220"/>
      <c r="CH111" s="1220"/>
      <c r="CI111" s="1220"/>
      <c r="CJ111" s="1220"/>
      <c r="CK111" s="1220"/>
      <c r="CL111" s="1220"/>
      <c r="CM111" s="1220"/>
      <c r="CN111" s="1220"/>
      <c r="CO111" s="1220"/>
      <c r="CP111" s="1220"/>
      <c r="CQ111" s="1220"/>
      <c r="CR111" s="1220"/>
      <c r="CS111" s="1220"/>
      <c r="CT111" s="1220"/>
      <c r="CU111" s="1220"/>
      <c r="CV111" s="1220"/>
      <c r="CW111" s="1220"/>
      <c r="CX111" s="1220"/>
      <c r="CY111" s="1220"/>
      <c r="CZ111" s="1220"/>
      <c r="DA111" s="1220"/>
      <c r="DB111" s="1220"/>
      <c r="DC111" s="1220"/>
      <c r="DD111" s="1220"/>
      <c r="DE111" s="1220"/>
      <c r="DF111" s="1220"/>
      <c r="DG111" s="1220"/>
      <c r="DH111" s="1220"/>
      <c r="DI111" s="1220"/>
      <c r="DJ111" s="1220"/>
      <c r="DK111" s="1220"/>
      <c r="DL111" s="1220"/>
      <c r="DM111" s="1220"/>
      <c r="DN111" s="1220"/>
      <c r="DO111" s="1220"/>
      <c r="DP111" s="1220"/>
      <c r="DQ111" s="1220"/>
      <c r="DR111" s="1220"/>
      <c r="DS111" s="1220"/>
      <c r="DT111" s="1220"/>
      <c r="DU111" s="1220"/>
      <c r="DV111" s="1220"/>
      <c r="DW111" s="1220"/>
      <c r="DX111" s="1220"/>
      <c r="DY111" s="1220"/>
      <c r="DZ111" s="1220"/>
      <c r="EA111" s="1220"/>
      <c r="EB111" s="1220"/>
      <c r="EC111" s="1220"/>
      <c r="ED111" s="1220"/>
      <c r="EE111" s="1220"/>
      <c r="EF111" s="1220"/>
      <c r="EG111" s="1220"/>
      <c r="EH111" s="1220"/>
      <c r="EI111" s="1220"/>
      <c r="EJ111" s="1220"/>
      <c r="EK111" s="1220"/>
      <c r="EL111" s="1220"/>
      <c r="EM111" s="1220"/>
      <c r="EN111" s="1220"/>
      <c r="EO111" s="1220"/>
      <c r="EP111" s="1220"/>
      <c r="EQ111" s="1220"/>
      <c r="ER111" s="1220"/>
      <c r="ES111" s="1220"/>
      <c r="ET111" s="1220"/>
      <c r="EU111" s="1220"/>
      <c r="EV111" s="1220"/>
      <c r="EW111" s="1220"/>
      <c r="EX111" s="1220"/>
      <c r="EY111" s="1220"/>
      <c r="EZ111" s="1220"/>
      <c r="FA111" s="1220"/>
      <c r="FB111" s="1220"/>
      <c r="FC111" s="1220"/>
      <c r="FD111" s="1220"/>
      <c r="FE111" s="1220"/>
      <c r="FF111" s="1220"/>
      <c r="FG111" s="1220"/>
      <c r="FH111" s="1220"/>
      <c r="FI111" s="1220"/>
      <c r="FJ111" s="1220"/>
      <c r="FK111" s="1220"/>
      <c r="FL111" s="1220"/>
      <c r="FM111" s="1220"/>
      <c r="FN111" s="1220"/>
      <c r="FO111" s="1220"/>
      <c r="FP111" s="1220"/>
      <c r="FQ111" s="1220"/>
      <c r="FR111" s="1220"/>
      <c r="FS111" s="1220"/>
      <c r="FT111" s="1220"/>
      <c r="FU111" s="1220"/>
      <c r="FV111" s="1220"/>
      <c r="FW111" s="1221"/>
      <c r="FX111" s="1222"/>
      <c r="FY111" s="947"/>
      <c r="FZ111" s="947"/>
      <c r="GA111" s="947"/>
      <c r="GB111" s="947"/>
    </row>
    <row r="113" s="1821" customFormat="1" customHeight="1" ht="11.25">
      <c r="A113" s="1821" t="s">
        <v>1972</v>
      </c>
    </row>
    <row r="115" s="1856" customFormat="1" customHeight="1" ht="15">
      <c r="A115" s="629"/>
      <c r="B115" s="630"/>
      <c r="C115" s="630"/>
      <c r="D115" s="2584" t="s">
        <v>111</v>
      </c>
      <c r="E115" s="2383" t="s">
        <v>107</v>
      </c>
      <c r="F115" s="2384"/>
      <c r="G115" s="2385"/>
      <c r="H115" s="2389" t="str">
        <f>IF(A115="","",INDEX(DIFFERENTIATION_UNMERGE_VD,MATCH(A115,DIFFERENTIATION_ID_DIFF,0)))</f>
        <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t="s">
        <v>28</v>
      </c>
      <c r="AF115" s="636"/>
      <c r="AG115" s="637" t="s">
        <v>646</v>
      </c>
      <c r="AH115" s="638">
        <v>3</v>
      </c>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row>
    <row s="1856" customFormat="1" customHeight="1" ht="15">
      <c r="A116" s="629"/>
      <c r="B116" s="630"/>
      <c r="C116" s="630"/>
      <c r="D116" s="2585"/>
      <c r="E116" s="2383" t="s">
        <v>601</v>
      </c>
      <c r="F116" s="2384"/>
      <c r="G116" s="2385"/>
      <c r="H116" s="2389" t="str">
        <f>IF(A115="","",INDEX(DIFFERENTIATION_UNMERGE_AREA,MATCH(A115,DIFFERENTIATION_ID_DIFF,0)))</f>
        <v/>
      </c>
      <c r="I116" s="2389"/>
      <c r="J116" s="2389"/>
      <c r="K116" s="2389"/>
      <c r="L116" s="2389"/>
      <c r="M116" s="2389"/>
      <c r="N116" s="2389"/>
      <c r="O116" s="2389"/>
      <c r="P116" s="2389"/>
      <c r="Q116" s="2389"/>
      <c r="R116" s="2389"/>
      <c r="S116" s="725"/>
      <c r="T116" s="722"/>
      <c r="U116" s="631"/>
      <c r="V116" s="631"/>
      <c r="W116" s="632"/>
      <c r="X116" s="632"/>
      <c r="Y116" s="632"/>
      <c r="Z116" s="632"/>
      <c r="AA116" s="633"/>
      <c r="AB116" s="634"/>
      <c r="AC116" s="2381"/>
      <c r="AD116" s="635"/>
      <c r="AE116" s="636"/>
      <c r="AF116" s="636"/>
      <c r="AG116" s="637"/>
      <c r="AH116" s="638"/>
      <c r="AI116" s="631"/>
      <c r="AJ116" s="631"/>
      <c r="AK116" s="631"/>
      <c r="AL116" s="631"/>
      <c r="AM116" s="631"/>
      <c r="AN116" s="631"/>
      <c r="AO116" s="631"/>
      <c r="AP116" s="631"/>
      <c r="AQ116" s="631"/>
      <c r="AR116" s="631"/>
      <c r="AS116" s="631"/>
      <c r="AT116" s="631"/>
      <c r="AU116" s="631"/>
      <c r="AV116" s="631"/>
      <c r="AW116" s="631"/>
      <c r="AX116" s="631"/>
      <c r="AY116" s="631"/>
      <c r="AZ116" s="631"/>
      <c r="BA116" s="631"/>
      <c r="BB116" s="631"/>
      <c r="BC116" s="631"/>
      <c r="BD116" s="631"/>
      <c r="BE116" s="631"/>
      <c r="BF116" s="631"/>
      <c r="BG116" s="631"/>
      <c r="BH116" s="631"/>
      <c r="BI116" s="631"/>
      <c r="BJ116" s="631"/>
      <c r="BK116" s="631"/>
      <c r="BL116" s="631"/>
      <c r="BM116" s="631"/>
      <c r="BN116" s="631"/>
      <c r="BO116" s="631"/>
      <c r="BP116" s="631"/>
      <c r="BQ116" s="631"/>
      <c r="BR116" s="631"/>
      <c r="BS116" s="631"/>
      <c r="BT116" s="631"/>
      <c r="BU116" s="631"/>
      <c r="BV116" s="632"/>
      <c r="BW116" s="632"/>
      <c r="BX116" s="632"/>
      <c r="BY116" s="632"/>
      <c r="BZ116" s="632"/>
      <c r="CA116" s="632"/>
      <c r="CB116" s="632"/>
      <c r="CC116" s="632"/>
      <c r="CD116" s="632"/>
      <c r="CE116" s="632"/>
    </row>
    <row s="1856" customFormat="1" customHeight="1" ht="15">
      <c r="A117" s="629"/>
      <c r="B117" s="630"/>
      <c r="C117" s="630"/>
      <c r="D117" s="2585"/>
      <c r="E117" s="2383" t="s">
        <v>602</v>
      </c>
      <c r="F117" s="2384"/>
      <c r="G117" s="2385"/>
      <c r="H117" s="2389" t="str">
        <f>IF(A115="","",INDEX(DIFFERENTIATION_UNMERGE_SYSTEM,MATCH(A115,DIFFERENTIATION_ID_DIFF,0)))</f>
        <v/>
      </c>
      <c r="I117" s="2389"/>
      <c r="J117" s="2389"/>
      <c r="K117" s="2389"/>
      <c r="L117" s="2389"/>
      <c r="M117" s="2389"/>
      <c r="N117" s="2389"/>
      <c r="O117" s="2389"/>
      <c r="P117" s="2389"/>
      <c r="Q117" s="2389"/>
      <c r="R117" s="2389"/>
      <c r="S117" s="725"/>
      <c r="T117" s="722"/>
      <c r="U117" s="631"/>
      <c r="V117" s="631"/>
      <c r="W117" s="632"/>
      <c r="X117" s="632"/>
      <c r="Y117" s="632"/>
      <c r="Z117" s="632"/>
      <c r="AA117" s="633"/>
      <c r="AB117" s="634"/>
      <c r="AC117" s="2381"/>
      <c r="AD117" s="635"/>
      <c r="AE117" s="636"/>
      <c r="AF117" s="636"/>
      <c r="AG117" s="637"/>
      <c r="AH117" s="638"/>
      <c r="AI117" s="631"/>
      <c r="AJ117" s="631"/>
      <c r="AK117" s="631"/>
      <c r="AL117" s="631"/>
      <c r="AM117" s="631"/>
      <c r="AN117" s="631"/>
      <c r="AO117" s="631"/>
      <c r="AP117" s="631"/>
      <c r="AQ117" s="631"/>
      <c r="AR117" s="631"/>
      <c r="AS117" s="631"/>
      <c r="AT117" s="631"/>
      <c r="AU117" s="631"/>
      <c r="AV117" s="631"/>
      <c r="AW117" s="631"/>
      <c r="AX117" s="631"/>
      <c r="AY117" s="631"/>
      <c r="AZ117" s="631"/>
      <c r="BA117" s="631"/>
      <c r="BB117" s="631"/>
      <c r="BC117" s="631"/>
      <c r="BD117" s="631"/>
      <c r="BE117" s="631"/>
      <c r="BF117" s="631"/>
      <c r="BG117" s="631"/>
      <c r="BH117" s="631"/>
      <c r="BI117" s="631"/>
      <c r="BJ117" s="631"/>
      <c r="BK117" s="631"/>
      <c r="BL117" s="631"/>
      <c r="BM117" s="631"/>
      <c r="BN117" s="631"/>
      <c r="BO117" s="631"/>
      <c r="BP117" s="631"/>
      <c r="BQ117" s="631"/>
      <c r="BR117" s="631"/>
      <c r="BS117" s="631"/>
      <c r="BT117" s="631"/>
      <c r="BU117" s="631"/>
      <c r="BV117" s="632"/>
      <c r="BW117" s="632"/>
      <c r="BX117" s="632"/>
      <c r="BY117" s="632"/>
      <c r="BZ117" s="632"/>
      <c r="CA117" s="632"/>
      <c r="CB117" s="632"/>
      <c r="CC117" s="632"/>
      <c r="CD117" s="632"/>
      <c r="CE117" s="632"/>
    </row>
    <row s="1856" customFormat="1" customHeight="1" ht="24.75">
      <c r="A118" s="1812"/>
      <c r="B118" s="1166"/>
      <c r="C118" s="418"/>
      <c r="D118" s="2585"/>
      <c r="E118" s="2382" t="s">
        <v>647</v>
      </c>
      <c r="F118" s="2382"/>
      <c r="G118" s="2382"/>
      <c r="H118" s="2382"/>
      <c r="I118" s="2382"/>
      <c r="J118" s="2382"/>
      <c r="K118" s="2382"/>
      <c r="L118" s="2382"/>
      <c r="M118" s="2382"/>
      <c r="N118" s="2382"/>
      <c r="O118" s="2382"/>
      <c r="P118" s="2382"/>
      <c r="Q118" s="564">
        <f>SUMIF(T119:T120,"i",Q119:Q120)</f>
        <v>0</v>
      </c>
      <c r="R118" s="1023"/>
      <c r="S118" s="1804" t="s">
        <v>648</v>
      </c>
      <c r="T118" s="723" t="s">
        <v>649</v>
      </c>
      <c r="U118" s="2380">
        <v>1</v>
      </c>
      <c r="V118" s="2380" t="s">
        <v>612</v>
      </c>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row>
    <row s="1856" customFormat="1" customHeight="1" ht="11.25" hidden="1">
      <c r="A119" s="1799"/>
      <c r="B119" s="1642"/>
      <c r="C119" s="1642"/>
      <c r="D119" s="2585"/>
      <c r="E119" s="641"/>
      <c r="F119" s="641">
        <v>0</v>
      </c>
      <c r="G119" s="641"/>
      <c r="H119" s="641"/>
      <c r="I119" s="641"/>
      <c r="J119" s="641"/>
      <c r="K119" s="641"/>
      <c r="L119" s="641"/>
      <c r="M119" s="641"/>
      <c r="N119" s="641"/>
      <c r="O119" s="641"/>
      <c r="P119" s="641"/>
      <c r="Q119" s="641"/>
      <c r="R119" s="641"/>
      <c r="S119" s="642"/>
      <c r="T119" s="724"/>
      <c r="U119" s="2380"/>
      <c r="V119" s="2380"/>
      <c r="W119" s="1642"/>
      <c r="X119" s="1642"/>
      <c r="Y119" s="1642"/>
      <c r="Z119" s="1642"/>
      <c r="AA119" s="1642"/>
      <c r="AB119" s="1166"/>
      <c r="AC119" s="2381"/>
      <c r="AD119" s="635"/>
      <c r="AE119" s="1166"/>
      <c r="AF119" s="1166"/>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row>
    <row s="1856" customFormat="1" customHeight="1" ht="11.25">
      <c r="A120" s="1812"/>
      <c r="B120" s="1166"/>
      <c r="C120" s="418"/>
      <c r="D120" s="2585"/>
      <c r="E120" s="655" t="s">
        <v>28</v>
      </c>
      <c r="F120" s="1174" t="s">
        <v>28</v>
      </c>
      <c r="G120" s="1174" t="s">
        <v>1973</v>
      </c>
      <c r="H120" s="657" t="s">
        <v>28</v>
      </c>
      <c r="I120" s="657"/>
      <c r="J120" s="657"/>
      <c r="K120" s="657"/>
      <c r="L120" s="657"/>
      <c r="M120" s="657"/>
      <c r="N120" s="657"/>
      <c r="O120" s="657"/>
      <c r="P120" s="657"/>
      <c r="Q120" s="657"/>
      <c r="R120" s="658"/>
      <c r="S120" s="659"/>
      <c r="T120" s="724"/>
      <c r="U120" s="2380"/>
      <c r="V120" s="2380"/>
      <c r="W120" s="1166"/>
      <c r="X120" s="1166"/>
      <c r="Y120" s="1166"/>
      <c r="Z120" s="1166"/>
      <c r="AA120" s="1642"/>
      <c r="AB120" s="1166"/>
      <c r="AC120" s="2381"/>
      <c r="AD120" s="635"/>
      <c r="AE120" s="1166"/>
      <c r="AF120" s="1166"/>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166"/>
      <c r="BW120" s="1166"/>
      <c r="BX120" s="1166"/>
      <c r="BY120" s="1166"/>
      <c r="BZ120" s="1166"/>
      <c r="CA120" s="1166"/>
      <c r="CB120" s="1166"/>
      <c r="CC120" s="1166"/>
      <c r="CD120" s="1166"/>
      <c r="CE120" s="1166"/>
    </row>
    <row s="1856" customFormat="1" customHeight="1" ht="24.75">
      <c r="A121" s="1812"/>
      <c r="B121" s="1166"/>
      <c r="C121" s="418"/>
      <c r="D121" s="2585"/>
      <c r="E121" s="2382" t="s">
        <v>650</v>
      </c>
      <c r="F121" s="2382"/>
      <c r="G121" s="2382"/>
      <c r="H121" s="2382"/>
      <c r="I121" s="2382"/>
      <c r="J121" s="2382"/>
      <c r="K121" s="2382"/>
      <c r="L121" s="2382"/>
      <c r="M121" s="2382"/>
      <c r="N121" s="2382"/>
      <c r="O121" s="2382"/>
      <c r="P121" s="2382"/>
      <c r="Q121" s="564">
        <f>SUMIF(T122:T123,"i",Q122:Q123)</f>
        <v>0</v>
      </c>
      <c r="R121" s="1023"/>
      <c r="S121" s="1804" t="s">
        <v>651</v>
      </c>
      <c r="T121" s="723" t="s">
        <v>649</v>
      </c>
      <c r="U121" s="2380">
        <v>1</v>
      </c>
      <c r="V121" s="2380" t="s">
        <v>612</v>
      </c>
      <c r="W121" s="1166"/>
      <c r="X121" s="1166"/>
      <c r="Y121" s="1166"/>
      <c r="Z121" s="1166"/>
      <c r="AA121" s="1642"/>
      <c r="AB121" s="1166"/>
      <c r="AC121" s="1802"/>
      <c r="AD121" s="635"/>
      <c r="AE121" s="1166"/>
      <c r="AF121" s="1166"/>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166"/>
      <c r="BW121" s="1166"/>
      <c r="BX121" s="1166"/>
      <c r="BY121" s="1166"/>
      <c r="BZ121" s="1166"/>
      <c r="CA121" s="1166"/>
      <c r="CB121" s="1166"/>
      <c r="CC121" s="1166"/>
      <c r="CD121" s="1166"/>
      <c r="CE121" s="1166"/>
    </row>
    <row s="1856" customFormat="1" customHeight="1" ht="11.25" hidden="1">
      <c r="A122" s="1799"/>
      <c r="B122" s="1642"/>
      <c r="C122" s="1642"/>
      <c r="D122" s="2585"/>
      <c r="E122" s="641"/>
      <c r="F122" s="641">
        <v>0</v>
      </c>
      <c r="G122" s="641"/>
      <c r="H122" s="641"/>
      <c r="I122" s="641"/>
      <c r="J122" s="641"/>
      <c r="K122" s="641"/>
      <c r="L122" s="641"/>
      <c r="M122" s="641"/>
      <c r="N122" s="641"/>
      <c r="O122" s="641"/>
      <c r="P122" s="641"/>
      <c r="Q122" s="641"/>
      <c r="R122" s="641"/>
      <c r="S122" s="642"/>
      <c r="T122" s="724"/>
      <c r="U122" s="2380"/>
      <c r="V122" s="2380"/>
      <c r="W122" s="1642"/>
      <c r="X122" s="1642"/>
      <c r="Y122" s="1642"/>
      <c r="Z122" s="1642"/>
      <c r="AA122" s="1642"/>
      <c r="AB122" s="1166"/>
      <c r="AC122" s="1802"/>
      <c r="AD122" s="635"/>
      <c r="AE122" s="1166"/>
      <c r="AF122" s="1166"/>
      <c r="AG122" s="1642"/>
      <c r="AH122" s="1642"/>
      <c r="AI122" s="1642"/>
      <c r="AJ122" s="1642"/>
      <c r="AK122" s="1642"/>
      <c r="AL122" s="1642"/>
      <c r="AM122" s="1642"/>
      <c r="AN122" s="1642"/>
      <c r="AO122" s="1642"/>
      <c r="AP122" s="1642"/>
      <c r="AQ122" s="1642"/>
      <c r="AR122" s="1642"/>
      <c r="AS122" s="1642"/>
      <c r="AT122" s="1642"/>
      <c r="AU122" s="1642"/>
      <c r="AV122" s="1642"/>
      <c r="AW122" s="1642"/>
      <c r="AX122" s="1642"/>
      <c r="AY122" s="1642"/>
      <c r="AZ122" s="1642"/>
      <c r="BA122" s="1642"/>
      <c r="BB122" s="1642"/>
      <c r="BC122" s="1642"/>
      <c r="BD122" s="1642"/>
      <c r="BE122" s="1642"/>
      <c r="BF122" s="1642"/>
      <c r="BG122" s="1642"/>
      <c r="BH122" s="1642"/>
      <c r="BI122" s="1642"/>
      <c r="BJ122" s="1642"/>
      <c r="BK122" s="1642"/>
      <c r="BL122" s="1642"/>
      <c r="BM122" s="1642"/>
      <c r="BN122" s="1642"/>
      <c r="BO122" s="1642"/>
      <c r="BP122" s="1642"/>
      <c r="BQ122" s="1642"/>
      <c r="BR122" s="1642"/>
      <c r="BS122" s="1642"/>
      <c r="BT122" s="1642"/>
      <c r="BU122" s="1642"/>
      <c r="BV122" s="1642"/>
      <c r="BW122" s="1642"/>
      <c r="BX122" s="1642"/>
      <c r="BY122" s="1642"/>
      <c r="BZ122" s="1642"/>
      <c r="CA122" s="1642"/>
      <c r="CB122" s="1642"/>
      <c r="CC122" s="1642"/>
      <c r="CD122" s="1642"/>
      <c r="CE122" s="1642"/>
    </row>
    <row s="1856" customFormat="1" customHeight="1" ht="11.25">
      <c r="A123" s="1812"/>
      <c r="B123" s="1166"/>
      <c r="C123" s="418"/>
      <c r="D123" s="2586"/>
      <c r="E123" s="655" t="s">
        <v>28</v>
      </c>
      <c r="F123" s="1174" t="s">
        <v>28</v>
      </c>
      <c r="G123" s="1174" t="s">
        <v>1973</v>
      </c>
      <c r="H123" s="657" t="s">
        <v>28</v>
      </c>
      <c r="I123" s="657"/>
      <c r="J123" s="657"/>
      <c r="K123" s="657"/>
      <c r="L123" s="657"/>
      <c r="M123" s="657"/>
      <c r="N123" s="657"/>
      <c r="O123" s="657"/>
      <c r="P123" s="657"/>
      <c r="Q123" s="657"/>
      <c r="R123" s="658"/>
      <c r="S123" s="659"/>
      <c r="T123" s="724"/>
      <c r="U123" s="2380"/>
      <c r="V123" s="2380"/>
      <c r="W123" s="1166"/>
      <c r="X123" s="1166"/>
      <c r="Y123" s="1166"/>
      <c r="Z123" s="1166"/>
      <c r="AA123" s="1642"/>
      <c r="AB123" s="1166"/>
      <c r="AC123" s="1802"/>
      <c r="AD123" s="635"/>
      <c r="AE123" s="1166"/>
      <c r="AF123" s="1166"/>
      <c r="AG123" s="1642"/>
      <c r="AH123" s="1642"/>
      <c r="AI123" s="1642"/>
      <c r="AJ123" s="1642"/>
      <c r="AK123" s="1642"/>
      <c r="AL123" s="1642"/>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BH123" s="1642"/>
      <c r="BI123" s="1642"/>
      <c r="BJ123" s="1642"/>
      <c r="BK123" s="1642"/>
      <c r="BL123" s="1642"/>
      <c r="BM123" s="1642"/>
      <c r="BN123" s="1642"/>
      <c r="BO123" s="1642"/>
      <c r="BP123" s="1642"/>
      <c r="BQ123" s="1642"/>
      <c r="BR123" s="1642"/>
      <c r="BS123" s="1642"/>
      <c r="BT123" s="1642"/>
      <c r="BU123" s="1642"/>
      <c r="BV123" s="1166"/>
      <c r="BW123" s="1166"/>
      <c r="BX123" s="1166"/>
      <c r="BY123" s="1166"/>
      <c r="BZ123" s="1166"/>
      <c r="CA123" s="1166"/>
      <c r="CB123" s="1166"/>
      <c r="CC123" s="1166"/>
      <c r="CD123" s="1166"/>
      <c r="CE123" s="1166"/>
    </row>
    <row r="125" s="1821" customFormat="1" customHeight="1" ht="11.25">
      <c r="A125" s="1821" t="s">
        <v>1974</v>
      </c>
    </row>
    <row r="127" s="1856" customFormat="1" customHeight="1" ht="15">
      <c r="A127" s="629"/>
      <c r="B127" s="630"/>
      <c r="C127" s="630"/>
      <c r="D127" s="2584" t="s">
        <v>111</v>
      </c>
      <c r="E127" s="2383" t="s">
        <v>107</v>
      </c>
      <c r="F127" s="2384"/>
      <c r="G127" s="2385"/>
      <c r="H127" s="2389" t="str">
        <f>IF(A127="","",INDEX(DIFFERENTIATION_UNMERGE_VD,MATCH(A127,DIFFERENTIATION_ID_DIFF,0)))</f>
        <v/>
      </c>
      <c r="I127" s="2389"/>
      <c r="J127" s="2389"/>
      <c r="K127" s="2389"/>
      <c r="L127" s="2389"/>
      <c r="M127" s="2389"/>
      <c r="N127" s="2389"/>
      <c r="O127" s="2389"/>
      <c r="P127" s="2389"/>
      <c r="Q127" s="2389"/>
      <c r="R127" s="2389"/>
      <c r="S127" s="725"/>
      <c r="T127" s="722"/>
      <c r="U127" s="631"/>
      <c r="V127" s="631"/>
      <c r="W127" s="632"/>
      <c r="X127" s="632"/>
      <c r="Y127" s="632"/>
      <c r="Z127" s="632"/>
      <c r="AA127" s="633"/>
      <c r="AB127" s="634"/>
      <c r="AC127" s="2381"/>
      <c r="AD127" s="635"/>
      <c r="AE127" s="636" t="s">
        <v>28</v>
      </c>
      <c r="AF127" s="636"/>
      <c r="AG127" s="637" t="s">
        <v>646</v>
      </c>
      <c r="AH127" s="638">
        <v>3</v>
      </c>
      <c r="AI127" s="631"/>
      <c r="AJ127" s="631"/>
      <c r="AK127" s="631"/>
      <c r="AL127" s="631"/>
      <c r="AM127" s="631"/>
      <c r="AN127" s="631"/>
      <c r="AO127" s="631"/>
      <c r="AP127" s="631"/>
      <c r="AQ127" s="631"/>
      <c r="AR127" s="631"/>
      <c r="AS127" s="631"/>
      <c r="AT127" s="631"/>
      <c r="AU127" s="631"/>
      <c r="AV127" s="631"/>
      <c r="AW127" s="631"/>
      <c r="AX127" s="631"/>
      <c r="AY127" s="631"/>
      <c r="AZ127" s="631"/>
      <c r="BA127" s="631"/>
      <c r="BB127" s="631"/>
      <c r="BC127" s="631"/>
      <c r="BD127" s="631"/>
      <c r="BE127" s="631"/>
      <c r="BF127" s="631"/>
      <c r="BG127" s="631"/>
      <c r="BH127" s="631"/>
      <c r="BI127" s="631"/>
      <c r="BJ127" s="631"/>
      <c r="BK127" s="631"/>
      <c r="BL127" s="631"/>
      <c r="BM127" s="631"/>
      <c r="BN127" s="631"/>
      <c r="BO127" s="631"/>
      <c r="BP127" s="631"/>
      <c r="BQ127" s="631"/>
      <c r="BR127" s="631"/>
      <c r="BS127" s="631"/>
      <c r="BT127" s="631"/>
      <c r="BU127" s="631"/>
      <c r="BV127" s="632"/>
      <c r="BW127" s="632"/>
      <c r="BX127" s="632"/>
      <c r="BY127" s="632"/>
      <c r="BZ127" s="632"/>
      <c r="CA127" s="632"/>
      <c r="CB127" s="632"/>
      <c r="CC127" s="632"/>
      <c r="CD127" s="632"/>
      <c r="CE127" s="632"/>
    </row>
    <row s="1856" customFormat="1" customHeight="1" ht="15">
      <c r="A128" s="629"/>
      <c r="B128" s="630"/>
      <c r="C128" s="630"/>
      <c r="D128" s="2585"/>
      <c r="E128" s="2383" t="s">
        <v>601</v>
      </c>
      <c r="F128" s="2384"/>
      <c r="G128" s="2385"/>
      <c r="H128" s="2389" t="str">
        <f>IF(A127="","",INDEX(DIFFERENTIATION_UNMERGE_AREA,MATCH(A127,DIFFERENTIATION_ID_DIFF,0)))</f>
        <v/>
      </c>
      <c r="I128" s="2389"/>
      <c r="J128" s="2389"/>
      <c r="K128" s="2389"/>
      <c r="L128" s="2389"/>
      <c r="M128" s="2389"/>
      <c r="N128" s="2389"/>
      <c r="O128" s="2389"/>
      <c r="P128" s="2389"/>
      <c r="Q128" s="2389"/>
      <c r="R128" s="2389"/>
      <c r="S128" s="725"/>
      <c r="T128" s="722"/>
      <c r="U128" s="631"/>
      <c r="V128" s="631"/>
      <c r="W128" s="632"/>
      <c r="X128" s="632"/>
      <c r="Y128" s="632"/>
      <c r="Z128" s="632"/>
      <c r="AA128" s="633"/>
      <c r="AB128" s="634"/>
      <c r="AC128" s="2381"/>
      <c r="AD128" s="635"/>
      <c r="AE128" s="636"/>
      <c r="AF128" s="636"/>
      <c r="AG128" s="637"/>
      <c r="AH128" s="638"/>
      <c r="AI128" s="631"/>
      <c r="AJ128" s="631"/>
      <c r="AK128" s="631"/>
      <c r="AL128" s="631"/>
      <c r="AM128" s="631"/>
      <c r="AN128" s="631"/>
      <c r="AO128" s="631"/>
      <c r="AP128" s="631"/>
      <c r="AQ128" s="631"/>
      <c r="AR128" s="631"/>
      <c r="AS128" s="631"/>
      <c r="AT128" s="631"/>
      <c r="AU128" s="631"/>
      <c r="AV128" s="631"/>
      <c r="AW128" s="631"/>
      <c r="AX128" s="631"/>
      <c r="AY128" s="631"/>
      <c r="AZ128" s="631"/>
      <c r="BA128" s="631"/>
      <c r="BB128" s="631"/>
      <c r="BC128" s="631"/>
      <c r="BD128" s="631"/>
      <c r="BE128" s="631"/>
      <c r="BF128" s="631"/>
      <c r="BG128" s="631"/>
      <c r="BH128" s="631"/>
      <c r="BI128" s="631"/>
      <c r="BJ128" s="631"/>
      <c r="BK128" s="631"/>
      <c r="BL128" s="631"/>
      <c r="BM128" s="631"/>
      <c r="BN128" s="631"/>
      <c r="BO128" s="631"/>
      <c r="BP128" s="631"/>
      <c r="BQ128" s="631"/>
      <c r="BR128" s="631"/>
      <c r="BS128" s="631"/>
      <c r="BT128" s="631"/>
      <c r="BU128" s="631"/>
      <c r="BV128" s="632"/>
      <c r="BW128" s="632"/>
      <c r="BX128" s="632"/>
      <c r="BY128" s="632"/>
      <c r="BZ128" s="632"/>
      <c r="CA128" s="632"/>
      <c r="CB128" s="632"/>
      <c r="CC128" s="632"/>
      <c r="CD128" s="632"/>
      <c r="CE128" s="632"/>
    </row>
    <row s="1856" customFormat="1" customHeight="1" ht="15">
      <c r="A129" s="629"/>
      <c r="B129" s="630"/>
      <c r="C129" s="630"/>
      <c r="D129" s="2585"/>
      <c r="E129" s="2383" t="s">
        <v>602</v>
      </c>
      <c r="F129" s="2384"/>
      <c r="G129" s="2385"/>
      <c r="H129" s="2389" t="str">
        <f>IF(A127="","",INDEX(DIFFERENTIATION_UNMERGE_SYSTEM,MATCH(A127,DIFFERENTIATION_ID_DIFF,0)))</f>
        <v/>
      </c>
      <c r="I129" s="2389"/>
      <c r="J129" s="2389"/>
      <c r="K129" s="2389"/>
      <c r="L129" s="2389"/>
      <c r="M129" s="2389"/>
      <c r="N129" s="2389"/>
      <c r="O129" s="2389"/>
      <c r="P129" s="2389"/>
      <c r="Q129" s="2389"/>
      <c r="R129" s="2389"/>
      <c r="S129" s="725"/>
      <c r="T129" s="722"/>
      <c r="U129" s="631"/>
      <c r="V129" s="631"/>
      <c r="W129" s="632"/>
      <c r="X129" s="632"/>
      <c r="Y129" s="632"/>
      <c r="Z129" s="632"/>
      <c r="AA129" s="633"/>
      <c r="AB129" s="634"/>
      <c r="AC129" s="2381"/>
      <c r="AD129" s="635"/>
      <c r="AE129" s="636"/>
      <c r="AF129" s="636"/>
      <c r="AG129" s="637"/>
      <c r="AH129" s="638"/>
      <c r="AI129" s="631"/>
      <c r="AJ129" s="631"/>
      <c r="AK129" s="631"/>
      <c r="AL129" s="631"/>
      <c r="AM129" s="631"/>
      <c r="AN129" s="631"/>
      <c r="AO129" s="631"/>
      <c r="AP129" s="631"/>
      <c r="AQ129" s="631"/>
      <c r="AR129" s="631"/>
      <c r="AS129" s="631"/>
      <c r="AT129" s="631"/>
      <c r="AU129" s="631"/>
      <c r="AV129" s="631"/>
      <c r="AW129" s="631"/>
      <c r="AX129" s="631"/>
      <c r="AY129" s="631"/>
      <c r="AZ129" s="631"/>
      <c r="BA129" s="631"/>
      <c r="BB129" s="631"/>
      <c r="BC129" s="631"/>
      <c r="BD129" s="631"/>
      <c r="BE129" s="631"/>
      <c r="BF129" s="631"/>
      <c r="BG129" s="631"/>
      <c r="BH129" s="631"/>
      <c r="BI129" s="631"/>
      <c r="BJ129" s="631"/>
      <c r="BK129" s="631"/>
      <c r="BL129" s="631"/>
      <c r="BM129" s="631"/>
      <c r="BN129" s="631"/>
      <c r="BO129" s="631"/>
      <c r="BP129" s="631"/>
      <c r="BQ129" s="631"/>
      <c r="BR129" s="631"/>
      <c r="BS129" s="631"/>
      <c r="BT129" s="631"/>
      <c r="BU129" s="631"/>
      <c r="BV129" s="632"/>
      <c r="BW129" s="632"/>
      <c r="BX129" s="632"/>
      <c r="BY129" s="632"/>
      <c r="BZ129" s="632"/>
      <c r="CA129" s="632"/>
      <c r="CB129" s="632"/>
      <c r="CC129" s="632"/>
      <c r="CD129" s="632"/>
      <c r="CE129" s="632"/>
    </row>
    <row s="1856" customFormat="1" customHeight="1" ht="24.75">
      <c r="A130" s="1812"/>
      <c r="B130" s="1166"/>
      <c r="C130" s="418"/>
      <c r="D130" s="2585"/>
      <c r="E130" s="2382" t="s">
        <v>647</v>
      </c>
      <c r="F130" s="2382"/>
      <c r="G130" s="2382"/>
      <c r="H130" s="2382"/>
      <c r="I130" s="2382"/>
      <c r="J130" s="2382"/>
      <c r="K130" s="2382"/>
      <c r="L130" s="2382"/>
      <c r="M130" s="2382"/>
      <c r="N130" s="2382"/>
      <c r="O130" s="2382"/>
      <c r="P130" s="2382"/>
      <c r="Q130" s="564">
        <f>SUMIF(T131:T132,"i",Q131:Q132)</f>
        <v>0</v>
      </c>
      <c r="R130" s="1023"/>
      <c r="S130" s="1804" t="s">
        <v>648</v>
      </c>
      <c r="T130" s="723" t="s">
        <v>649</v>
      </c>
      <c r="U130" s="2380">
        <v>1</v>
      </c>
      <c r="V130" s="2380" t="s">
        <v>612</v>
      </c>
      <c r="W130" s="1166"/>
      <c r="X130" s="1166"/>
      <c r="Y130" s="1166"/>
      <c r="Z130" s="1166"/>
      <c r="AA130" s="1642"/>
      <c r="AB130" s="1166"/>
      <c r="AC130" s="2381"/>
      <c r="AD130" s="635"/>
      <c r="AE130" s="1166"/>
      <c r="AF130" s="1166"/>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166"/>
      <c r="BW130" s="1166"/>
      <c r="BX130" s="1166"/>
      <c r="BY130" s="1166"/>
      <c r="BZ130" s="1166"/>
      <c r="CA130" s="1166"/>
      <c r="CB130" s="1166"/>
      <c r="CC130" s="1166"/>
      <c r="CD130" s="1166"/>
      <c r="CE130" s="1166"/>
    </row>
    <row s="1856" customFormat="1" customHeight="1" ht="11.25" hidden="1">
      <c r="A131" s="1799"/>
      <c r="B131" s="1642"/>
      <c r="C131" s="1642"/>
      <c r="D131" s="2585"/>
      <c r="E131" s="641"/>
      <c r="F131" s="641">
        <v>0</v>
      </c>
      <c r="G131" s="641"/>
      <c r="H131" s="641"/>
      <c r="I131" s="641"/>
      <c r="J131" s="641"/>
      <c r="K131" s="641"/>
      <c r="L131" s="641"/>
      <c r="M131" s="641"/>
      <c r="N131" s="641"/>
      <c r="O131" s="641"/>
      <c r="P131" s="641"/>
      <c r="Q131" s="641"/>
      <c r="R131" s="641"/>
      <c r="S131" s="642"/>
      <c r="T131" s="724"/>
      <c r="U131" s="2380"/>
      <c r="V131" s="2380"/>
      <c r="W131" s="1642"/>
      <c r="X131" s="1642"/>
      <c r="Y131" s="1642"/>
      <c r="Z131" s="1642"/>
      <c r="AA131" s="1642"/>
      <c r="AB131" s="1166"/>
      <c r="AC131" s="2381"/>
      <c r="AD131" s="635"/>
      <c r="AE131" s="1166"/>
      <c r="AF131" s="1166"/>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row>
    <row s="1856" customFormat="1" customHeight="1" ht="11.25">
      <c r="A132" s="1812"/>
      <c r="B132" s="1166"/>
      <c r="C132" s="418"/>
      <c r="D132" s="2585"/>
      <c r="E132" s="655" t="s">
        <v>28</v>
      </c>
      <c r="F132" s="1174" t="s">
        <v>28</v>
      </c>
      <c r="G132" s="1174" t="s">
        <v>1973</v>
      </c>
      <c r="H132" s="657" t="s">
        <v>28</v>
      </c>
      <c r="I132" s="657"/>
      <c r="J132" s="657"/>
      <c r="K132" s="657"/>
      <c r="L132" s="657"/>
      <c r="M132" s="657"/>
      <c r="N132" s="657"/>
      <c r="O132" s="657"/>
      <c r="P132" s="657"/>
      <c r="Q132" s="657"/>
      <c r="R132" s="658"/>
      <c r="S132" s="659"/>
      <c r="T132" s="724"/>
      <c r="U132" s="2380"/>
      <c r="V132" s="2380"/>
      <c r="W132" s="1166"/>
      <c r="X132" s="1166"/>
      <c r="Y132" s="1166"/>
      <c r="Z132" s="1166"/>
      <c r="AA132" s="1642"/>
      <c r="AB132" s="1166"/>
      <c r="AC132" s="2381"/>
      <c r="AD132" s="635"/>
      <c r="AE132" s="1166"/>
      <c r="AF132" s="1166"/>
      <c r="AG132" s="1642"/>
      <c r="AH132" s="1642"/>
      <c r="AI132" s="1642"/>
      <c r="AJ132" s="1642"/>
      <c r="AK132" s="1642"/>
      <c r="AL132" s="1642"/>
      <c r="AM132" s="1642"/>
      <c r="AN132" s="1642"/>
      <c r="AO132" s="1642"/>
      <c r="AP132" s="1642"/>
      <c r="AQ132" s="1642"/>
      <c r="AR132" s="1642"/>
      <c r="AS132" s="1642"/>
      <c r="AT132" s="1642"/>
      <c r="AU132" s="1642"/>
      <c r="AV132" s="1642"/>
      <c r="AW132" s="1642"/>
      <c r="AX132" s="1642"/>
      <c r="AY132" s="1642"/>
      <c r="AZ132" s="1642"/>
      <c r="BA132" s="1642"/>
      <c r="BB132" s="1642"/>
      <c r="BC132" s="1642"/>
      <c r="BD132" s="1642"/>
      <c r="BE132" s="1642"/>
      <c r="BF132" s="1642"/>
      <c r="BG132" s="1642"/>
      <c r="BH132" s="1642"/>
      <c r="BI132" s="1642"/>
      <c r="BJ132" s="1642"/>
      <c r="BK132" s="1642"/>
      <c r="BL132" s="1642"/>
      <c r="BM132" s="1642"/>
      <c r="BN132" s="1642"/>
      <c r="BO132" s="1642"/>
      <c r="BP132" s="1642"/>
      <c r="BQ132" s="1642"/>
      <c r="BR132" s="1642"/>
      <c r="BS132" s="1642"/>
      <c r="BT132" s="1642"/>
      <c r="BU132" s="1642"/>
      <c r="BV132" s="1166"/>
      <c r="BW132" s="1166"/>
      <c r="BX132" s="1166"/>
      <c r="BY132" s="1166"/>
      <c r="BZ132" s="1166"/>
      <c r="CA132" s="1166"/>
      <c r="CB132" s="1166"/>
      <c r="CC132" s="1166"/>
      <c r="CD132" s="1166"/>
      <c r="CE132" s="1166"/>
    </row>
    <row s="1322" customFormat="1" customHeight="1" ht="5.25" hidden="1">
      <c r="A133" s="1799"/>
      <c r="B133" s="1642"/>
      <c r="C133" s="1642"/>
      <c r="D133" s="2585"/>
      <c r="E133" s="1045"/>
      <c r="F133" s="1045"/>
      <c r="G133" s="1045"/>
      <c r="H133" s="1045"/>
      <c r="I133" s="1045"/>
      <c r="J133" s="1045"/>
      <c r="K133" s="1045"/>
      <c r="L133" s="1045"/>
      <c r="M133" s="1045"/>
      <c r="N133" s="1045"/>
      <c r="O133" s="1045"/>
      <c r="P133" s="1045"/>
      <c r="Q133" s="1046"/>
      <c r="R133" s="1047"/>
      <c r="S133" s="1048"/>
      <c r="T133" s="723" t="s">
        <v>649</v>
      </c>
      <c r="U133" s="2380">
        <v>1</v>
      </c>
      <c r="V133" s="2380" t="s">
        <v>612</v>
      </c>
      <c r="W133" s="1642"/>
      <c r="X133" s="1642"/>
      <c r="Y133" s="1642"/>
      <c r="Z133" s="1642"/>
      <c r="AA133" s="1642"/>
      <c r="AB133" s="1642"/>
      <c r="AC133" s="1043"/>
      <c r="AD133" s="1044"/>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row>
    <row s="1322" customFormat="1" customHeight="1" ht="5.25" hidden="1">
      <c r="A134" s="1799"/>
      <c r="B134" s="1642"/>
      <c r="C134" s="1642"/>
      <c r="D134" s="2585"/>
      <c r="E134" s="641"/>
      <c r="F134" s="641"/>
      <c r="G134" s="641"/>
      <c r="H134" s="641"/>
      <c r="I134" s="641"/>
      <c r="J134" s="641"/>
      <c r="K134" s="641"/>
      <c r="L134" s="641"/>
      <c r="M134" s="641"/>
      <c r="N134" s="641"/>
      <c r="O134" s="641"/>
      <c r="P134" s="641"/>
      <c r="Q134" s="641"/>
      <c r="R134" s="641"/>
      <c r="S134" s="642"/>
      <c r="T134" s="724"/>
      <c r="U134" s="2380"/>
      <c r="V134" s="2380"/>
      <c r="W134" s="1642"/>
      <c r="X134" s="1642"/>
      <c r="Y134" s="1642"/>
      <c r="Z134" s="1642"/>
      <c r="AA134" s="1642"/>
      <c r="AB134" s="1642"/>
      <c r="AC134" s="1043"/>
      <c r="AD134" s="1044"/>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row>
    <row s="1322" customFormat="1" customHeight="1" ht="5.25" hidden="1">
      <c r="A135" s="1799"/>
      <c r="B135" s="1642"/>
      <c r="C135" s="1642"/>
      <c r="D135" s="2586"/>
      <c r="E135" s="1049"/>
      <c r="F135" s="1050"/>
      <c r="G135" s="1050"/>
      <c r="H135" s="1051"/>
      <c r="I135" s="1051"/>
      <c r="J135" s="1051"/>
      <c r="K135" s="1051"/>
      <c r="L135" s="1051"/>
      <c r="M135" s="1051"/>
      <c r="N135" s="1051"/>
      <c r="O135" s="1051"/>
      <c r="P135" s="1051"/>
      <c r="Q135" s="1051"/>
      <c r="R135" s="952"/>
      <c r="S135" s="1052"/>
      <c r="T135" s="724"/>
      <c r="U135" s="2380"/>
      <c r="V135" s="2380"/>
      <c r="W135" s="1642"/>
      <c r="X135" s="1642"/>
      <c r="Y135" s="1642"/>
      <c r="Z135" s="1642"/>
      <c r="AA135" s="1642"/>
      <c r="AB135" s="1642"/>
      <c r="AC135" s="1043"/>
      <c r="AD135" s="1044"/>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row>
    <row customHeight="1" ht="17.25">
      <c r="D136" s="1842"/>
    </row>
    <row s="1821" customFormat="1" customHeight="1" ht="11.25">
      <c r="A137" s="1821" t="s">
        <v>1975</v>
      </c>
    </row>
    <row r="139" s="1856" customFormat="1" customHeight="1" ht="45">
      <c r="A139" s="1812"/>
      <c r="B139" s="1166"/>
      <c r="C139" s="418"/>
      <c r="D139" s="95"/>
      <c r="E139" s="2578"/>
      <c r="F139" s="2114" t="s">
        <v>111</v>
      </c>
      <c r="G139" s="2581" t="s">
        <v>28</v>
      </c>
      <c r="H139" s="295"/>
      <c r="I139" s="643" t="s">
        <v>111</v>
      </c>
      <c r="J139" s="1813" t="s">
        <v>1976</v>
      </c>
      <c r="K139" s="644" t="s">
        <v>583</v>
      </c>
      <c r="L139" s="2230" t="s">
        <v>583</v>
      </c>
      <c r="M139" s="2583"/>
      <c r="N139" s="644" t="s">
        <v>583</v>
      </c>
      <c r="O139" s="644" t="s">
        <v>583</v>
      </c>
      <c r="P139" s="644" t="s">
        <v>583</v>
      </c>
      <c r="Q139" s="645">
        <f>SUM(Q140:Q142)</f>
        <v>0</v>
      </c>
      <c r="R139" s="645">
        <f>IF(R136=0,0,(Q136/R136)*100)</f>
        <v>0</v>
      </c>
      <c r="S139" s="2185"/>
      <c r="T139" s="723" t="s">
        <v>649</v>
      </c>
      <c r="U139" s="95"/>
      <c r="V139" s="95"/>
      <c r="AC139" s="95"/>
    </row>
    <row s="1856" customFormat="1" customHeight="1" ht="11.25">
      <c r="A140" s="1812"/>
      <c r="B140" s="1166"/>
      <c r="C140" s="418"/>
      <c r="D140" s="95"/>
      <c r="E140" s="2579"/>
      <c r="F140" s="2114"/>
      <c r="G140" s="2581"/>
      <c r="H140" s="2133"/>
      <c r="I140" s="2521" t="s">
        <v>1058</v>
      </c>
      <c r="J140" s="2575"/>
      <c r="K140" s="2576"/>
      <c r="L140" s="646"/>
      <c r="M140" s="647" t="s">
        <v>111</v>
      </c>
      <c r="N140" s="1801"/>
      <c r="O140" s="648"/>
      <c r="P140" s="649"/>
      <c r="Q140" s="648"/>
      <c r="R140" s="650">
        <v>0</v>
      </c>
      <c r="S140" s="2185"/>
      <c r="T140" s="723"/>
      <c r="U140" s="95"/>
      <c r="V140" s="95"/>
      <c r="AC140" s="95"/>
    </row>
    <row s="1856" customFormat="1" customHeight="1" ht="11.25">
      <c r="A141" s="1812"/>
      <c r="B141" s="1166"/>
      <c r="C141" s="418"/>
      <c r="D141" s="95"/>
      <c r="E141" s="2579"/>
      <c r="F141" s="2114"/>
      <c r="G141" s="2581"/>
      <c r="H141" s="2133"/>
      <c r="I141" s="2521"/>
      <c r="J141" s="2575"/>
      <c r="K141" s="2577"/>
      <c r="L141" s="651"/>
      <c r="M141" s="652"/>
      <c r="N141" s="653" t="s">
        <v>1977</v>
      </c>
      <c r="O141" s="653"/>
      <c r="P141" s="653"/>
      <c r="Q141" s="653"/>
      <c r="R141" s="654"/>
      <c r="S141" s="2185"/>
      <c r="T141" s="723"/>
      <c r="U141" s="95"/>
      <c r="V141" s="95"/>
      <c r="AC141" s="95"/>
    </row>
    <row s="1856" customFormat="1" customHeight="1" ht="11.25">
      <c r="A142" s="1812"/>
      <c r="B142" s="1166"/>
      <c r="C142" s="418"/>
      <c r="D142" s="95"/>
      <c r="E142" s="2580"/>
      <c r="F142" s="2114"/>
      <c r="G142" s="2582"/>
      <c r="H142" s="651" t="s">
        <v>28</v>
      </c>
      <c r="I142" s="652"/>
      <c r="J142" s="653" t="s">
        <v>1978</v>
      </c>
      <c r="K142" s="653"/>
      <c r="L142" s="653"/>
      <c r="M142" s="653"/>
      <c r="N142" s="653"/>
      <c r="O142" s="653"/>
      <c r="P142" s="653"/>
      <c r="Q142" s="653"/>
      <c r="R142" s="654"/>
      <c r="S142" s="2185"/>
      <c r="T142" s="723"/>
      <c r="U142" s="95"/>
      <c r="V142" s="95"/>
      <c r="AC142" s="95"/>
    </row>
    <row r="147" s="1856" customFormat="1" customHeight="1" ht="11.25">
      <c r="A147" s="1812"/>
      <c r="B147" s="1166"/>
      <c r="C147" s="418"/>
      <c r="D147" s="95"/>
      <c r="E147" s="1836"/>
      <c r="F147" s="1836"/>
      <c r="G147" s="1836"/>
      <c r="H147" s="2133"/>
      <c r="I147" s="2521" t="s">
        <v>1058</v>
      </c>
      <c r="J147" s="2575"/>
      <c r="K147" s="2576"/>
      <c r="L147" s="646"/>
      <c r="M147" s="647" t="s">
        <v>111</v>
      </c>
      <c r="N147" s="1801"/>
      <c r="O147" s="648"/>
      <c r="P147" s="649"/>
      <c r="Q147" s="648"/>
      <c r="R147" s="650">
        <v>0</v>
      </c>
      <c r="S147" s="95"/>
      <c r="T147" s="723"/>
      <c r="U147" s="95"/>
      <c r="V147" s="95"/>
      <c r="AC147" s="95"/>
    </row>
    <row s="1856" customFormat="1" customHeight="1" ht="11.25">
      <c r="A148" s="1812"/>
      <c r="B148" s="1166"/>
      <c r="C148" s="418"/>
      <c r="D148" s="95"/>
      <c r="E148" s="1836"/>
      <c r="F148" s="1836"/>
      <c r="G148" s="1836"/>
      <c r="H148" s="2133"/>
      <c r="I148" s="2521"/>
      <c r="J148" s="2575"/>
      <c r="K148" s="2577"/>
      <c r="L148" s="651"/>
      <c r="M148" s="652"/>
      <c r="N148" s="653" t="s">
        <v>1977</v>
      </c>
      <c r="O148" s="653"/>
      <c r="P148" s="653"/>
      <c r="Q148" s="653"/>
      <c r="R148" s="654"/>
      <c r="S148" s="95"/>
      <c r="T148" s="723"/>
      <c r="U148" s="95"/>
      <c r="V148" s="95"/>
      <c r="AC148" s="95"/>
    </row>
    <row r="150" s="1856" customFormat="1" customHeight="1" ht="11.25">
      <c r="A150" s="1812"/>
      <c r="B150" s="1166"/>
      <c r="C150" s="418"/>
      <c r="D150" s="95"/>
      <c r="E150" s="1843"/>
      <c r="F150" s="1841"/>
      <c r="G150" s="1841"/>
      <c r="H150" s="1844"/>
      <c r="I150" s="1836"/>
      <c r="J150" s="1837"/>
      <c r="K150" s="1837"/>
      <c r="L150" s="646"/>
      <c r="M150" s="647" t="s">
        <v>111</v>
      </c>
      <c r="N150" s="1801"/>
      <c r="O150" s="648"/>
      <c r="P150" s="649"/>
      <c r="Q150" s="648"/>
      <c r="R150" s="650">
        <v>0</v>
      </c>
      <c r="S150" s="95"/>
      <c r="T150" s="723"/>
      <c r="U150" s="95"/>
      <c r="V150" s="95"/>
      <c r="AC150" s="95"/>
    </row>
    <row r="152" s="1821" customFormat="1" customHeight="1" ht="17.25">
      <c r="A152" s="1821" t="s">
        <v>1979</v>
      </c>
    </row>
    <row customHeight="1" ht="17.25">
      <c r="G153" s="1845"/>
      <c r="H153" s="1845"/>
      <c r="I153" s="1845"/>
      <c r="M153" s="1841"/>
    </row>
    <row s="1859" customFormat="1" customHeight="1" ht="17.25">
      <c r="A154" s="1846"/>
      <c r="C154" s="1848"/>
      <c r="D154" s="2535"/>
      <c r="E154" s="2149"/>
      <c r="F154" s="2151"/>
      <c r="G154" s="2537"/>
      <c r="H154" s="2535"/>
      <c r="I154" s="2535">
        <v>1</v>
      </c>
      <c r="J154" s="2507"/>
      <c r="K154" s="2191" t="s">
        <v>62</v>
      </c>
      <c r="L154" s="2114"/>
      <c r="M154" s="2114" t="s">
        <v>111</v>
      </c>
      <c r="N154" s="2510" t="str">
        <f>IF(Z154="","",INDEX(TERRITORY_MR_LIST,MATCH(Z154,TERRITORY_LIST_ID,0)))</f>
        <v/>
      </c>
      <c r="O154" s="2191" t="s">
        <v>62</v>
      </c>
      <c r="P154" s="2114"/>
      <c r="Q154" s="2114" t="s">
        <v>111</v>
      </c>
      <c r="R154" s="2508" t="s">
        <v>28</v>
      </c>
      <c r="S154" s="2113" t="s">
        <v>62</v>
      </c>
      <c r="T154" s="1817"/>
      <c r="U154" s="1817" t="s">
        <v>111</v>
      </c>
      <c r="V154" s="1849" t="s">
        <v>28</v>
      </c>
      <c r="W154" s="1807"/>
      <c r="Y154" s="1273"/>
      <c r="Z154" s="1273"/>
      <c r="AA154" s="1273"/>
      <c r="AB154" s="1273"/>
      <c r="AC154" s="1273"/>
      <c r="AD154" s="1273"/>
      <c r="AE154" s="1273"/>
      <c r="AF154" s="1273"/>
      <c r="AG154" s="1273"/>
      <c r="AH154" s="1273"/>
      <c r="AI154" s="1273"/>
      <c r="AJ154" s="1273"/>
      <c r="AK154" s="1273"/>
      <c r="AL154" s="1850"/>
      <c r="AM154" s="1850"/>
      <c r="AN154" s="1273"/>
      <c r="AO154" s="1273"/>
      <c r="AP154" s="1273"/>
      <c r="AQ154" s="1273"/>
    </row>
    <row s="1859" customFormat="1" customHeight="1" ht="17.25">
      <c r="A155" s="1846"/>
      <c r="C155" s="1851"/>
      <c r="D155" s="2535"/>
      <c r="E155" s="2149"/>
      <c r="F155" s="2152"/>
      <c r="G155" s="2537"/>
      <c r="H155" s="2535"/>
      <c r="I155" s="2535"/>
      <c r="J155" s="2507"/>
      <c r="K155" s="2192"/>
      <c r="L155" s="2114"/>
      <c r="M155" s="2114"/>
      <c r="N155" s="2510"/>
      <c r="O155" s="2192"/>
      <c r="P155" s="2114"/>
      <c r="Q155" s="2114"/>
      <c r="R155" s="2508"/>
      <c r="S155" s="2113"/>
      <c r="T155" s="323"/>
      <c r="U155" s="324"/>
      <c r="V155" s="324" t="s">
        <v>430</v>
      </c>
      <c r="W155" s="325"/>
      <c r="Y155" s="1265"/>
      <c r="Z155" s="1265"/>
      <c r="AA155" s="1265"/>
      <c r="AB155" s="1265"/>
      <c r="AC155" s="1265"/>
      <c r="AD155" s="1265"/>
      <c r="AE155" s="1265"/>
      <c r="AF155" s="1265"/>
      <c r="AG155" s="1265"/>
      <c r="AH155" s="1265"/>
      <c r="AI155" s="1265"/>
      <c r="AJ155" s="1265"/>
      <c r="AK155" s="1265"/>
    </row>
    <row s="1859" customFormat="1" customHeight="1" ht="17.25">
      <c r="A156" s="1846"/>
      <c r="C156" s="1851"/>
      <c r="D156" s="2509"/>
      <c r="E156" s="2536"/>
      <c r="F156" s="2152"/>
      <c r="G156" s="2538"/>
      <c r="H156" s="2509"/>
      <c r="I156" s="2509"/>
      <c r="J156" s="2539"/>
      <c r="K156" s="2192"/>
      <c r="L156" s="2509"/>
      <c r="M156" s="2509"/>
      <c r="N156" s="2511"/>
      <c r="O156" s="2118"/>
      <c r="P156" s="323"/>
      <c r="Q156" s="324"/>
      <c r="R156" s="324" t="s">
        <v>251</v>
      </c>
      <c r="S156" s="1852"/>
      <c r="T156" s="1852"/>
      <c r="U156" s="1852"/>
      <c r="V156" s="1852"/>
      <c r="W156" s="325"/>
      <c r="Y156" s="1265"/>
      <c r="Z156" s="1265"/>
      <c r="AA156" s="1265"/>
      <c r="AB156" s="1265"/>
      <c r="AC156" s="1265"/>
      <c r="AD156" s="1265"/>
      <c r="AE156" s="1265"/>
      <c r="AF156" s="1265"/>
      <c r="AG156" s="1265"/>
      <c r="AH156" s="1265"/>
      <c r="AI156" s="1265"/>
      <c r="AJ156" s="1265"/>
      <c r="AK156" s="1265"/>
    </row>
    <row s="1859" customFormat="1" customHeight="1" ht="17.25">
      <c r="A157" s="1846"/>
      <c r="C157" s="1851"/>
      <c r="D157" s="2509"/>
      <c r="E157" s="2536"/>
      <c r="F157" s="2152"/>
      <c r="G157" s="2538"/>
      <c r="H157" s="2509"/>
      <c r="I157" s="2509"/>
      <c r="J157" s="2539"/>
      <c r="K157" s="2118"/>
      <c r="L157" s="323"/>
      <c r="M157" s="324"/>
      <c r="N157" s="324" t="s">
        <v>252</v>
      </c>
      <c r="O157" s="324"/>
      <c r="P157" s="324"/>
      <c r="Q157" s="324"/>
      <c r="R157" s="324"/>
      <c r="S157" s="1852"/>
      <c r="T157" s="1852"/>
      <c r="U157" s="1852"/>
      <c r="V157" s="1852"/>
      <c r="W157" s="325"/>
      <c r="Y157" s="1265"/>
      <c r="Z157" s="1265"/>
      <c r="AA157" s="1265"/>
      <c r="AB157" s="1265"/>
      <c r="AC157" s="1265"/>
      <c r="AD157" s="1265"/>
      <c r="AE157" s="1265"/>
      <c r="AF157" s="1265"/>
      <c r="AG157" s="1265"/>
      <c r="AH157" s="1265"/>
      <c r="AI157" s="1265"/>
      <c r="AJ157" s="1265"/>
      <c r="AK157" s="1265"/>
    </row>
    <row s="1859" customFormat="1" customHeight="1" ht="17.25">
      <c r="A158" s="1846"/>
      <c r="C158" s="1851"/>
      <c r="D158" s="2509"/>
      <c r="E158" s="2536"/>
      <c r="F158" s="2153"/>
      <c r="G158" s="2538"/>
      <c r="H158" s="323"/>
      <c r="I158" s="324"/>
      <c r="J158" s="324" t="s">
        <v>264</v>
      </c>
      <c r="K158" s="324"/>
      <c r="L158" s="324"/>
      <c r="M158" s="324"/>
      <c r="N158" s="324"/>
      <c r="O158" s="324"/>
      <c r="P158" s="324"/>
      <c r="Q158" s="324"/>
      <c r="R158" s="324"/>
      <c r="S158" s="1852"/>
      <c r="T158" s="1852"/>
      <c r="U158" s="1852"/>
      <c r="V158" s="1852"/>
      <c r="W158" s="325"/>
      <c r="Y158" s="1265"/>
      <c r="Z158" s="1265"/>
      <c r="AA158" s="1265"/>
      <c r="AB158" s="1265"/>
      <c r="AC158" s="1265"/>
      <c r="AD158" s="1265"/>
      <c r="AE158" s="1265"/>
      <c r="AF158" s="1265"/>
      <c r="AG158" s="1265"/>
      <c r="AH158" s="1265"/>
      <c r="AI158" s="1265"/>
      <c r="AJ158" s="1265"/>
      <c r="AK158" s="1265"/>
    </row>
    <row customHeight="1" ht="17.25">
      <c r="G159" s="1845"/>
      <c r="H159" s="1845"/>
      <c r="I159" s="1845"/>
      <c r="M159" s="1841"/>
    </row>
    <row s="1859" customFormat="1" customHeight="1" ht="17.25">
      <c r="A160" s="1846"/>
      <c r="C160" s="1848"/>
      <c r="D160" s="1836"/>
      <c r="E160" s="1853"/>
      <c r="F160" s="1790"/>
      <c r="G160" s="1854"/>
      <c r="H160" s="2535"/>
      <c r="I160" s="2535">
        <v>1</v>
      </c>
      <c r="J160" s="2507"/>
      <c r="K160" s="2191" t="s">
        <v>62</v>
      </c>
      <c r="L160" s="2114"/>
      <c r="M160" s="2114" t="s">
        <v>111</v>
      </c>
      <c r="N160" s="2510" t="str">
        <f>IF(Z160="","",INDEX(TERRITORY_MR_LIST,MATCH(Z160,TERRITORY_LIST_ID,0)))</f>
        <v/>
      </c>
      <c r="O160" s="2191" t="s">
        <v>62</v>
      </c>
      <c r="P160" s="2114"/>
      <c r="Q160" s="2114" t="s">
        <v>111</v>
      </c>
      <c r="R160" s="2508" t="s">
        <v>28</v>
      </c>
      <c r="S160" s="2113" t="s">
        <v>62</v>
      </c>
      <c r="T160" s="1817"/>
      <c r="U160" s="1817" t="s">
        <v>111</v>
      </c>
      <c r="V160" s="1849" t="s">
        <v>28</v>
      </c>
      <c r="W160" s="1807"/>
      <c r="Y160" s="1273"/>
      <c r="Z160" s="1273"/>
      <c r="AA160" s="1273"/>
      <c r="AB160" s="1273"/>
      <c r="AC160" s="1273"/>
      <c r="AD160" s="1273"/>
      <c r="AE160" s="1273"/>
      <c r="AF160" s="1273"/>
      <c r="AG160" s="1273"/>
      <c r="AH160" s="1273"/>
      <c r="AI160" s="1273"/>
      <c r="AJ160" s="1273"/>
      <c r="AK160" s="1273"/>
      <c r="AL160" s="1850"/>
      <c r="AM160" s="1850"/>
      <c r="AN160" s="1273"/>
      <c r="AO160" s="1273"/>
      <c r="AP160" s="1273"/>
      <c r="AQ160" s="1273"/>
    </row>
    <row s="1859" customFormat="1" customHeight="1" ht="17.25">
      <c r="A161" s="1846"/>
      <c r="C161" s="1851"/>
      <c r="D161" s="1836"/>
      <c r="E161" s="1853"/>
      <c r="F161" s="1790"/>
      <c r="G161" s="1854"/>
      <c r="H161" s="2535"/>
      <c r="I161" s="2535"/>
      <c r="J161" s="2507"/>
      <c r="K161" s="2192"/>
      <c r="L161" s="2114"/>
      <c r="M161" s="2114"/>
      <c r="N161" s="2510"/>
      <c r="O161" s="2192"/>
      <c r="P161" s="2114"/>
      <c r="Q161" s="2114"/>
      <c r="R161" s="2508"/>
      <c r="S161" s="2113"/>
      <c r="T161" s="323"/>
      <c r="U161" s="324"/>
      <c r="V161" s="324" t="s">
        <v>430</v>
      </c>
      <c r="W161" s="325"/>
      <c r="Y161" s="1265"/>
      <c r="Z161" s="1265"/>
      <c r="AA161" s="1265"/>
      <c r="AB161" s="1265"/>
      <c r="AC161" s="1265"/>
      <c r="AD161" s="1265"/>
      <c r="AE161" s="1265"/>
      <c r="AF161" s="1265"/>
      <c r="AG161" s="1265"/>
      <c r="AH161" s="1265"/>
      <c r="AI161" s="1265"/>
      <c r="AJ161" s="1265"/>
      <c r="AK161" s="1265"/>
    </row>
    <row s="1859" customFormat="1" customHeight="1" ht="17.25">
      <c r="A162" s="1846"/>
      <c r="C162" s="1851"/>
      <c r="D162" s="1836"/>
      <c r="E162" s="1853"/>
      <c r="F162" s="1790"/>
      <c r="G162" s="1854"/>
      <c r="H162" s="2509"/>
      <c r="I162" s="2509"/>
      <c r="J162" s="2539"/>
      <c r="K162" s="2192"/>
      <c r="L162" s="2509"/>
      <c r="M162" s="2509"/>
      <c r="N162" s="2511"/>
      <c r="O162" s="2118"/>
      <c r="P162" s="323"/>
      <c r="Q162" s="324"/>
      <c r="R162" s="324" t="s">
        <v>251</v>
      </c>
      <c r="S162" s="1852"/>
      <c r="T162" s="1852"/>
      <c r="U162" s="1852"/>
      <c r="V162" s="1852"/>
      <c r="W162" s="325"/>
      <c r="Y162" s="1265"/>
      <c r="Z162" s="1265"/>
      <c r="AA162" s="1265"/>
      <c r="AB162" s="1265"/>
      <c r="AC162" s="1265"/>
      <c r="AD162" s="1265"/>
      <c r="AE162" s="1265"/>
      <c r="AF162" s="1265"/>
      <c r="AG162" s="1265"/>
      <c r="AH162" s="1265"/>
      <c r="AI162" s="1265"/>
      <c r="AJ162" s="1265"/>
      <c r="AK162" s="1265"/>
    </row>
    <row s="1859" customFormat="1" customHeight="1" ht="17.25">
      <c r="A163" s="1846"/>
      <c r="C163" s="1851"/>
      <c r="D163" s="1836"/>
      <c r="E163" s="1853"/>
      <c r="F163" s="1790"/>
      <c r="G163" s="1854"/>
      <c r="H163" s="2509"/>
      <c r="I163" s="2509"/>
      <c r="J163" s="2539"/>
      <c r="K163" s="2118"/>
      <c r="L163" s="323"/>
      <c r="M163" s="324"/>
      <c r="N163" s="324" t="s">
        <v>252</v>
      </c>
      <c r="O163" s="324"/>
      <c r="P163" s="324"/>
      <c r="Q163" s="324"/>
      <c r="R163" s="324"/>
      <c r="S163" s="1852"/>
      <c r="T163" s="1852"/>
      <c r="U163" s="1852"/>
      <c r="V163" s="1852"/>
      <c r="W163" s="325"/>
      <c r="Y163" s="1265"/>
      <c r="Z163" s="1265"/>
      <c r="AA163" s="1265"/>
      <c r="AB163" s="1265"/>
      <c r="AC163" s="1265"/>
      <c r="AD163" s="1265"/>
      <c r="AE163" s="1265"/>
      <c r="AF163" s="1265"/>
      <c r="AG163" s="1265"/>
      <c r="AH163" s="1265"/>
      <c r="AI163" s="1265"/>
      <c r="AJ163" s="1265"/>
      <c r="AK163" s="1265"/>
    </row>
    <row customHeight="1" ht="17.25">
      <c r="G164" s="1845"/>
      <c r="H164" s="1845"/>
      <c r="I164" s="1845"/>
      <c r="M164" s="1841"/>
    </row>
    <row s="1859" customFormat="1" customHeight="1" ht="17.25">
      <c r="A165" s="1846"/>
      <c r="C165" s="1848"/>
      <c r="D165" s="1836"/>
      <c r="E165" s="1853"/>
      <c r="F165" s="1790"/>
      <c r="G165" s="1854"/>
      <c r="H165" s="1836"/>
      <c r="I165" s="1836"/>
      <c r="J165" s="1855"/>
      <c r="K165" s="1766"/>
      <c r="L165" s="2114"/>
      <c r="M165" s="2114" t="s">
        <v>111</v>
      </c>
      <c r="N165" s="2510" t="str">
        <f>IF(Z165="","",INDEX(TERRITORY_MR_LIST,MATCH(Z165,TERRITORY_LIST_ID,0)))</f>
        <v/>
      </c>
      <c r="O165" s="2191" t="s">
        <v>62</v>
      </c>
      <c r="P165" s="2114"/>
      <c r="Q165" s="2114" t="s">
        <v>111</v>
      </c>
      <c r="R165" s="2508" t="s">
        <v>28</v>
      </c>
      <c r="S165" s="2113" t="s">
        <v>62</v>
      </c>
      <c r="T165" s="1817"/>
      <c r="U165" s="1817" t="s">
        <v>111</v>
      </c>
      <c r="V165" s="1849" t="s">
        <v>28</v>
      </c>
      <c r="W165" s="1807"/>
      <c r="Y165" s="1273"/>
      <c r="Z165" s="1273"/>
      <c r="AA165" s="1273"/>
      <c r="AB165" s="1273"/>
      <c r="AC165" s="1273"/>
      <c r="AD165" s="1273"/>
      <c r="AE165" s="1273"/>
      <c r="AF165" s="1273"/>
      <c r="AG165" s="1273"/>
      <c r="AH165" s="1273"/>
      <c r="AI165" s="1273"/>
      <c r="AJ165" s="1273"/>
      <c r="AK165" s="1273"/>
      <c r="AL165" s="1850"/>
      <c r="AM165" s="1850"/>
      <c r="AN165" s="1273"/>
      <c r="AO165" s="1273"/>
      <c r="AP165" s="1273"/>
      <c r="AQ165" s="1273"/>
    </row>
    <row s="1859" customFormat="1" customHeight="1" ht="17.25">
      <c r="A166" s="1846"/>
      <c r="C166" s="1851"/>
      <c r="D166" s="1836"/>
      <c r="E166" s="1853"/>
      <c r="F166" s="1790"/>
      <c r="G166" s="1854"/>
      <c r="H166" s="1836"/>
      <c r="I166" s="1836"/>
      <c r="J166" s="1855"/>
      <c r="K166" s="1766"/>
      <c r="L166" s="2114"/>
      <c r="M166" s="2114"/>
      <c r="N166" s="2510"/>
      <c r="O166" s="2192"/>
      <c r="P166" s="2114"/>
      <c r="Q166" s="2114"/>
      <c r="R166" s="2508"/>
      <c r="S166" s="2113"/>
      <c r="T166" s="323"/>
      <c r="U166" s="324"/>
      <c r="V166" s="324" t="s">
        <v>430</v>
      </c>
      <c r="W166" s="325"/>
      <c r="Y166" s="1265"/>
      <c r="Z166" s="1265"/>
      <c r="AA166" s="1265"/>
      <c r="AB166" s="1265"/>
      <c r="AC166" s="1265"/>
      <c r="AD166" s="1265"/>
      <c r="AE166" s="1265"/>
      <c r="AF166" s="1265"/>
      <c r="AG166" s="1265"/>
      <c r="AH166" s="1265"/>
      <c r="AI166" s="1265"/>
      <c r="AJ166" s="1265"/>
      <c r="AK166" s="1265"/>
    </row>
    <row s="1859" customFormat="1" customHeight="1" ht="17.25">
      <c r="A167" s="1846"/>
      <c r="C167" s="1851"/>
      <c r="D167" s="1836"/>
      <c r="E167" s="1853"/>
      <c r="F167" s="1790"/>
      <c r="G167" s="1854"/>
      <c r="H167" s="1836"/>
      <c r="I167" s="1836"/>
      <c r="J167" s="1855"/>
      <c r="K167" s="1766"/>
      <c r="L167" s="2509"/>
      <c r="M167" s="2509"/>
      <c r="N167" s="2511"/>
      <c r="O167" s="2118"/>
      <c r="P167" s="323"/>
      <c r="Q167" s="324"/>
      <c r="R167" s="324" t="s">
        <v>251</v>
      </c>
      <c r="S167" s="1852"/>
      <c r="T167" s="1852"/>
      <c r="U167" s="1852"/>
      <c r="V167" s="1852"/>
      <c r="W167" s="325"/>
      <c r="Y167" s="1265"/>
      <c r="Z167" s="1265"/>
      <c r="AA167" s="1265"/>
      <c r="AB167" s="1265"/>
      <c r="AC167" s="1265"/>
      <c r="AD167" s="1265"/>
      <c r="AE167" s="1265"/>
      <c r="AF167" s="1265"/>
      <c r="AG167" s="1265"/>
      <c r="AH167" s="1265"/>
      <c r="AI167" s="1265"/>
      <c r="AJ167" s="1265"/>
      <c r="AK167" s="1265"/>
    </row>
    <row customHeight="1" ht="17.25">
      <c r="G168" s="1845"/>
      <c r="H168" s="1845"/>
      <c r="I168" s="1845"/>
      <c r="M168" s="1841"/>
    </row>
    <row s="1859" customFormat="1" customHeight="1" ht="17.25">
      <c r="A169" s="1846"/>
      <c r="C169" s="1848"/>
      <c r="D169" s="1836"/>
      <c r="E169" s="1853"/>
      <c r="F169" s="1790"/>
      <c r="G169" s="1854"/>
      <c r="H169" s="1836"/>
      <c r="I169" s="1836"/>
      <c r="J169" s="1855"/>
      <c r="K169" s="1766"/>
      <c r="L169" s="1762"/>
      <c r="M169" s="1762"/>
      <c r="N169" s="2054"/>
      <c r="O169" s="1793"/>
      <c r="P169" s="2114"/>
      <c r="Q169" s="2114" t="s">
        <v>111</v>
      </c>
      <c r="R169" s="2508" t="s">
        <v>28</v>
      </c>
      <c r="S169" s="2113" t="s">
        <v>62</v>
      </c>
      <c r="T169" s="1817"/>
      <c r="U169" s="1817" t="s">
        <v>111</v>
      </c>
      <c r="V169" s="1849" t="s">
        <v>28</v>
      </c>
      <c r="W169" s="1807"/>
      <c r="Y169" s="1273"/>
      <c r="Z169" s="1273"/>
      <c r="AA169" s="1273"/>
      <c r="AB169" s="1273"/>
      <c r="AC169" s="1273"/>
      <c r="AD169" s="1273"/>
      <c r="AE169" s="1273"/>
      <c r="AF169" s="1273"/>
      <c r="AG169" s="1273"/>
      <c r="AH169" s="1273"/>
      <c r="AI169" s="1273"/>
      <c r="AJ169" s="1273"/>
      <c r="AK169" s="1273"/>
      <c r="AL169" s="1850"/>
      <c r="AM169" s="1850"/>
      <c r="AN169" s="1273"/>
      <c r="AO169" s="1273"/>
      <c r="AP169" s="1273"/>
      <c r="AQ169" s="1273"/>
    </row>
    <row s="1859" customFormat="1" customHeight="1" ht="17.25">
      <c r="A170" s="1846"/>
      <c r="C170" s="1851"/>
      <c r="D170" s="1836"/>
      <c r="E170" s="1853"/>
      <c r="F170" s="1790"/>
      <c r="G170" s="1854"/>
      <c r="H170" s="1836"/>
      <c r="I170" s="1836"/>
      <c r="J170" s="1855"/>
      <c r="K170" s="1766"/>
      <c r="L170" s="1762"/>
      <c r="M170" s="1762"/>
      <c r="N170" s="2054"/>
      <c r="O170" s="1793"/>
      <c r="P170" s="2114"/>
      <c r="Q170" s="2114"/>
      <c r="R170" s="2508"/>
      <c r="S170" s="2113"/>
      <c r="T170" s="323"/>
      <c r="U170" s="324"/>
      <c r="V170" s="324" t="s">
        <v>430</v>
      </c>
      <c r="W170" s="325"/>
      <c r="Y170" s="1265"/>
      <c r="Z170" s="1265"/>
      <c r="AA170" s="1265"/>
      <c r="AB170" s="1265"/>
      <c r="AC170" s="1265"/>
      <c r="AD170" s="1265"/>
      <c r="AE170" s="1265"/>
      <c r="AF170" s="1265"/>
      <c r="AG170" s="1265"/>
      <c r="AH170" s="1265"/>
      <c r="AI170" s="1265"/>
      <c r="AJ170" s="1265"/>
      <c r="AK170" s="1265"/>
    </row>
    <row customHeight="1" ht="17.25">
      <c r="G171" s="1845"/>
      <c r="H171" s="1845"/>
      <c r="I171" s="1845"/>
      <c r="M171" s="1841"/>
    </row>
    <row s="1859" customFormat="1" customHeight="1" ht="17.25">
      <c r="A172" s="1846"/>
      <c r="C172" s="1848"/>
      <c r="D172" s="1836"/>
      <c r="E172" s="1853"/>
      <c r="F172" s="1790"/>
      <c r="G172" s="1854"/>
      <c r="H172" s="1762"/>
      <c r="I172" s="1762"/>
      <c r="J172" s="1763"/>
      <c r="K172" s="1854"/>
      <c r="L172" s="1762"/>
      <c r="M172" s="1762"/>
      <c r="N172" s="1854"/>
      <c r="O172" s="1854"/>
      <c r="P172" s="1762"/>
      <c r="Q172" s="1762"/>
      <c r="R172" s="1764"/>
      <c r="S172" s="1854"/>
      <c r="T172" s="1817"/>
      <c r="U172" s="1817" t="s">
        <v>111</v>
      </c>
      <c r="V172" s="1849" t="s">
        <v>28</v>
      </c>
      <c r="W172" s="1807"/>
      <c r="Y172" s="1273"/>
      <c r="Z172" s="1273"/>
      <c r="AA172" s="1273"/>
      <c r="AB172" s="1273"/>
      <c r="AC172" s="1273"/>
      <c r="AD172" s="1273"/>
      <c r="AE172" s="1273"/>
      <c r="AF172" s="1273"/>
      <c r="AG172" s="1273"/>
      <c r="AH172" s="1273"/>
      <c r="AI172" s="1273"/>
      <c r="AJ172" s="1273"/>
      <c r="AK172" s="1273"/>
      <c r="AL172" s="1850"/>
      <c r="AM172" s="1850"/>
      <c r="AN172" s="1273"/>
      <c r="AO172" s="1273"/>
      <c r="AP172" s="1273"/>
      <c r="AQ172" s="1273"/>
    </row>
    <row r="174" s="1821" customFormat="1" customHeight="1" ht="17.25">
      <c r="A174" s="1821" t="s">
        <v>1980</v>
      </c>
    </row>
    <row customHeight="1" ht="17.25">
      <c r="G175" s="1845"/>
      <c r="H175" s="1845"/>
      <c r="I175" s="1845"/>
      <c r="M175" s="1841"/>
    </row>
    <row s="1859" customFormat="1" customHeight="1" ht="17.25">
      <c r="A176" s="1846"/>
      <c r="C176" s="1848"/>
      <c r="D176" s="2535"/>
      <c r="E176" s="2149"/>
      <c r="F176" s="2151"/>
      <c r="G176" s="2537"/>
      <c r="H176" s="2535"/>
      <c r="I176" s="2535">
        <v>1</v>
      </c>
      <c r="J176" s="2507"/>
      <c r="K176" s="2191" t="s">
        <v>62</v>
      </c>
      <c r="L176" s="2114"/>
      <c r="M176" s="2114" t="s">
        <v>111</v>
      </c>
      <c r="N176" s="2510" t="str">
        <f>IF(Z176="","",INDEX(TERRITORY_MR_LIST,MATCH(Z176,TERRITORY_LIST_ID,0)))</f>
        <v/>
      </c>
      <c r="O176" s="2191" t="s">
        <v>62</v>
      </c>
      <c r="P176" s="2114"/>
      <c r="Q176" s="2114" t="s">
        <v>111</v>
      </c>
      <c r="R176" s="2508" t="s">
        <v>28</v>
      </c>
      <c r="S176" s="2412" t="s">
        <v>19</v>
      </c>
      <c r="T176" s="1808"/>
      <c r="U176" s="1808" t="s">
        <v>111</v>
      </c>
      <c r="V176" s="1440"/>
      <c r="W176" s="2507"/>
      <c r="Y176" s="1273"/>
      <c r="Z176" s="1273"/>
      <c r="AA176" s="1273"/>
      <c r="AB176" s="1273"/>
      <c r="AC176" s="1273"/>
      <c r="AD176" s="1273"/>
      <c r="AE176" s="1273"/>
      <c r="AF176" s="1273"/>
      <c r="AG176" s="1273"/>
      <c r="AH176" s="1273"/>
      <c r="AI176" s="1273"/>
      <c r="AJ176" s="1273"/>
      <c r="AK176" s="1273"/>
      <c r="AL176" s="1850"/>
      <c r="AM176" s="1850"/>
      <c r="AN176" s="1273"/>
      <c r="AO176" s="1273"/>
      <c r="AP176" s="1273"/>
      <c r="AQ176" s="1273"/>
    </row>
    <row s="1859" customFormat="1" customHeight="1" ht="17.25">
      <c r="A177" s="1846"/>
      <c r="C177" s="1851"/>
      <c r="D177" s="2535"/>
      <c r="E177" s="2149"/>
      <c r="F177" s="2152"/>
      <c r="G177" s="2537"/>
      <c r="H177" s="2535"/>
      <c r="I177" s="2535"/>
      <c r="J177" s="2507"/>
      <c r="K177" s="2192"/>
      <c r="L177" s="2114"/>
      <c r="M177" s="2114"/>
      <c r="N177" s="2510"/>
      <c r="O177" s="2192"/>
      <c r="P177" s="2114"/>
      <c r="Q177" s="2114"/>
      <c r="R177" s="2508"/>
      <c r="S177" s="2412"/>
      <c r="T177" s="1441"/>
      <c r="U177" s="1442"/>
      <c r="V177" s="1442"/>
      <c r="W177" s="2507"/>
      <c r="Y177" s="1265"/>
      <c r="Z177" s="1265"/>
      <c r="AA177" s="1265"/>
      <c r="AB177" s="1265"/>
      <c r="AC177" s="1265"/>
      <c r="AD177" s="1265"/>
      <c r="AE177" s="1265"/>
      <c r="AF177" s="1265"/>
      <c r="AG177" s="1265"/>
      <c r="AH177" s="1265"/>
      <c r="AI177" s="1265"/>
      <c r="AJ177" s="1265"/>
      <c r="AK177" s="1265"/>
    </row>
    <row s="1859" customFormat="1" customHeight="1" ht="17.25">
      <c r="A178" s="1846"/>
      <c r="C178" s="1851"/>
      <c r="D178" s="2509"/>
      <c r="E178" s="2536"/>
      <c r="F178" s="2152"/>
      <c r="G178" s="2538"/>
      <c r="H178" s="2509"/>
      <c r="I178" s="2509"/>
      <c r="J178" s="2539"/>
      <c r="K178" s="2192"/>
      <c r="L178" s="2509"/>
      <c r="M178" s="2509"/>
      <c r="N178" s="2511"/>
      <c r="O178" s="2118"/>
      <c r="P178" s="323"/>
      <c r="Q178" s="324"/>
      <c r="R178" s="324" t="s">
        <v>251</v>
      </c>
      <c r="S178" s="1852"/>
      <c r="T178" s="1852"/>
      <c r="U178" s="1852"/>
      <c r="V178" s="1852"/>
      <c r="W178" s="1439"/>
      <c r="Y178" s="1265"/>
      <c r="Z178" s="1265"/>
      <c r="AA178" s="1265"/>
      <c r="AB178" s="1265"/>
      <c r="AC178" s="1265"/>
      <c r="AD178" s="1265"/>
      <c r="AE178" s="1265"/>
      <c r="AF178" s="1265"/>
      <c r="AG178" s="1265"/>
      <c r="AH178" s="1265"/>
      <c r="AI178" s="1265"/>
      <c r="AJ178" s="1265"/>
      <c r="AK178" s="1265"/>
    </row>
    <row s="1859" customFormat="1" customHeight="1" ht="17.25">
      <c r="A179" s="1846"/>
      <c r="C179" s="1851"/>
      <c r="D179" s="2509"/>
      <c r="E179" s="2536"/>
      <c r="F179" s="2152"/>
      <c r="G179" s="2538"/>
      <c r="H179" s="2509"/>
      <c r="I179" s="2509"/>
      <c r="J179" s="2539"/>
      <c r="K179" s="2118"/>
      <c r="L179" s="323"/>
      <c r="M179" s="324"/>
      <c r="N179" s="324" t="s">
        <v>252</v>
      </c>
      <c r="O179" s="324"/>
      <c r="P179" s="324"/>
      <c r="Q179" s="324"/>
      <c r="R179" s="324"/>
      <c r="S179" s="1852"/>
      <c r="T179" s="1852"/>
      <c r="U179" s="1852"/>
      <c r="V179" s="1852"/>
      <c r="W179" s="325"/>
      <c r="Y179" s="1265"/>
      <c r="Z179" s="1265"/>
      <c r="AA179" s="1265"/>
      <c r="AB179" s="1265"/>
      <c r="AC179" s="1265"/>
      <c r="AD179" s="1265"/>
      <c r="AE179" s="1265"/>
      <c r="AF179" s="1265"/>
      <c r="AG179" s="1265"/>
      <c r="AH179" s="1265"/>
      <c r="AI179" s="1265"/>
      <c r="AJ179" s="1265"/>
      <c r="AK179" s="1265"/>
    </row>
    <row s="1859" customFormat="1" customHeight="1" ht="17.25">
      <c r="A180" s="1846"/>
      <c r="C180" s="1851"/>
      <c r="D180" s="2509"/>
      <c r="E180" s="2536"/>
      <c r="F180" s="2153"/>
      <c r="G180" s="2538"/>
      <c r="H180" s="323"/>
      <c r="I180" s="324"/>
      <c r="J180" s="324" t="s">
        <v>264</v>
      </c>
      <c r="K180" s="324"/>
      <c r="L180" s="324"/>
      <c r="M180" s="324"/>
      <c r="N180" s="324"/>
      <c r="O180" s="324"/>
      <c r="P180" s="324"/>
      <c r="Q180" s="324"/>
      <c r="R180" s="324"/>
      <c r="S180" s="1852"/>
      <c r="T180" s="1852"/>
      <c r="U180" s="1852"/>
      <c r="V180" s="1852"/>
      <c r="W180" s="325"/>
      <c r="Y180" s="1265"/>
      <c r="Z180" s="1265"/>
      <c r="AA180" s="1265"/>
      <c r="AB180" s="1265"/>
      <c r="AC180" s="1265"/>
      <c r="AD180" s="1265"/>
      <c r="AE180" s="1265"/>
      <c r="AF180" s="1265"/>
      <c r="AG180" s="1265"/>
      <c r="AH180" s="1265"/>
      <c r="AI180" s="1265"/>
      <c r="AJ180" s="1265"/>
      <c r="AK180" s="1265"/>
    </row>
    <row customHeight="1" ht="17.25">
      <c r="A181" s="1856"/>
    </row>
    <row s="1859" customFormat="1" customHeight="1" ht="17.25">
      <c r="A182" s="1846"/>
      <c r="C182" s="1848"/>
      <c r="D182" s="1836"/>
      <c r="E182" s="1853"/>
      <c r="F182" s="1790"/>
      <c r="G182" s="1854"/>
      <c r="H182" s="2535"/>
      <c r="I182" s="2535">
        <v>1</v>
      </c>
      <c r="J182" s="2507"/>
      <c r="K182" s="2191" t="s">
        <v>62</v>
      </c>
      <c r="L182" s="2114"/>
      <c r="M182" s="2114" t="s">
        <v>111</v>
      </c>
      <c r="N182" s="2510" t="str">
        <f>IF(Z182="","",INDEX(TERRITORY_MR_LIST,MATCH(Z182,TERRITORY_LIST_ID,0)))</f>
        <v/>
      </c>
      <c r="O182" s="2191" t="s">
        <v>62</v>
      </c>
      <c r="P182" s="2114"/>
      <c r="Q182" s="2114" t="s">
        <v>111</v>
      </c>
      <c r="R182" s="2508" t="s">
        <v>28</v>
      </c>
      <c r="S182" s="2412" t="s">
        <v>19</v>
      </c>
      <c r="T182" s="1808"/>
      <c r="U182" s="1808" t="s">
        <v>111</v>
      </c>
      <c r="V182" s="1440"/>
      <c r="W182" s="2507"/>
      <c r="Y182" s="1273"/>
      <c r="Z182" s="1273"/>
      <c r="AA182" s="1273"/>
      <c r="AB182" s="1273"/>
      <c r="AC182" s="1273"/>
      <c r="AD182" s="1273"/>
      <c r="AE182" s="1273"/>
      <c r="AF182" s="1273"/>
      <c r="AG182" s="1273"/>
      <c r="AH182" s="1273"/>
      <c r="AI182" s="1273"/>
      <c r="AJ182" s="1273"/>
      <c r="AK182" s="1273"/>
      <c r="AL182" s="1850"/>
      <c r="AM182" s="1850"/>
      <c r="AN182" s="1273"/>
      <c r="AO182" s="1273"/>
      <c r="AP182" s="1273"/>
      <c r="AQ182" s="1273"/>
    </row>
    <row s="1859" customFormat="1" customHeight="1" ht="17.25">
      <c r="A183" s="1846"/>
      <c r="C183" s="1851"/>
      <c r="D183" s="1836"/>
      <c r="E183" s="1853"/>
      <c r="F183" s="1790"/>
      <c r="G183" s="1854"/>
      <c r="H183" s="2535"/>
      <c r="I183" s="2535"/>
      <c r="J183" s="2507"/>
      <c r="K183" s="2192"/>
      <c r="L183" s="2114"/>
      <c r="M183" s="2114"/>
      <c r="N183" s="2510"/>
      <c r="O183" s="2192"/>
      <c r="P183" s="2114"/>
      <c r="Q183" s="2114"/>
      <c r="R183" s="2508"/>
      <c r="S183" s="2412"/>
      <c r="T183" s="1441"/>
      <c r="U183" s="1442"/>
      <c r="V183" s="1442"/>
      <c r="W183" s="2507"/>
      <c r="Y183" s="1265"/>
      <c r="Z183" s="1265"/>
      <c r="AA183" s="1265"/>
      <c r="AB183" s="1265"/>
      <c r="AC183" s="1265"/>
      <c r="AD183" s="1265"/>
      <c r="AE183" s="1265"/>
      <c r="AF183" s="1265"/>
      <c r="AG183" s="1265"/>
      <c r="AH183" s="1265"/>
      <c r="AI183" s="1265"/>
      <c r="AJ183" s="1265"/>
      <c r="AK183" s="1265"/>
    </row>
    <row s="1859" customFormat="1" customHeight="1" ht="17.25">
      <c r="A184" s="1846"/>
      <c r="C184" s="1851"/>
      <c r="D184" s="1836"/>
      <c r="E184" s="1853"/>
      <c r="F184" s="1790"/>
      <c r="G184" s="1854"/>
      <c r="H184" s="2509"/>
      <c r="I184" s="2509"/>
      <c r="J184" s="2539"/>
      <c r="K184" s="2192"/>
      <c r="L184" s="2509"/>
      <c r="M184" s="2509"/>
      <c r="N184" s="2511"/>
      <c r="O184" s="2118"/>
      <c r="P184" s="323"/>
      <c r="Q184" s="324"/>
      <c r="R184" s="324" t="s">
        <v>251</v>
      </c>
      <c r="S184" s="1852"/>
      <c r="T184" s="1852"/>
      <c r="U184" s="1852"/>
      <c r="V184" s="1852"/>
      <c r="W184" s="1439"/>
      <c r="Y184" s="1265"/>
      <c r="Z184" s="1265"/>
      <c r="AA184" s="1265"/>
      <c r="AB184" s="1265"/>
      <c r="AC184" s="1265"/>
      <c r="AD184" s="1265"/>
      <c r="AE184" s="1265"/>
      <c r="AF184" s="1265"/>
      <c r="AG184" s="1265"/>
      <c r="AH184" s="1265"/>
      <c r="AI184" s="1265"/>
      <c r="AJ184" s="1265"/>
      <c r="AK184" s="1265"/>
    </row>
    <row s="1859" customFormat="1" customHeight="1" ht="17.25">
      <c r="A185" s="1846"/>
      <c r="C185" s="1851"/>
      <c r="D185" s="1836"/>
      <c r="E185" s="1853"/>
      <c r="F185" s="1790"/>
      <c r="G185" s="1854"/>
      <c r="H185" s="2509"/>
      <c r="I185" s="2509"/>
      <c r="J185" s="2539"/>
      <c r="K185" s="2118"/>
      <c r="L185" s="323"/>
      <c r="M185" s="324"/>
      <c r="N185" s="324" t="s">
        <v>252</v>
      </c>
      <c r="O185" s="324"/>
      <c r="P185" s="324"/>
      <c r="Q185" s="324"/>
      <c r="R185" s="324"/>
      <c r="S185" s="1852"/>
      <c r="T185" s="1852"/>
      <c r="U185" s="1852"/>
      <c r="V185" s="1852"/>
      <c r="W185" s="325"/>
      <c r="Y185" s="1265"/>
      <c r="Z185" s="1265"/>
      <c r="AA185" s="1265"/>
      <c r="AB185" s="1265"/>
      <c r="AC185" s="1265"/>
      <c r="AD185" s="1265"/>
      <c r="AE185" s="1265"/>
      <c r="AF185" s="1265"/>
      <c r="AG185" s="1265"/>
      <c r="AH185" s="1265"/>
      <c r="AI185" s="1265"/>
      <c r="AJ185" s="1265"/>
      <c r="AK185" s="1265"/>
    </row>
    <row customHeight="1" ht="17.25">
      <c r="A186" s="1856"/>
    </row>
    <row s="1859" customFormat="1" customHeight="1" ht="17.25">
      <c r="A187" s="1846"/>
      <c r="C187" s="1848"/>
      <c r="D187" s="1836"/>
      <c r="E187" s="1853"/>
      <c r="F187" s="1790"/>
      <c r="G187" s="1854"/>
      <c r="H187" s="1836"/>
      <c r="I187" s="1836"/>
      <c r="J187" s="1857"/>
      <c r="K187" s="1854"/>
      <c r="L187" s="2114"/>
      <c r="M187" s="2114" t="s">
        <v>111</v>
      </c>
      <c r="N187" s="2510" t="str">
        <f>IF(Z187="","",INDEX(TERRITORY_MR_LIST,MATCH(Z187,TERRITORY_LIST_ID,0)))</f>
        <v/>
      </c>
      <c r="O187" s="2191" t="s">
        <v>62</v>
      </c>
      <c r="P187" s="2114"/>
      <c r="Q187" s="2114" t="s">
        <v>111</v>
      </c>
      <c r="R187" s="2508" t="s">
        <v>28</v>
      </c>
      <c r="S187" s="2412" t="s">
        <v>19</v>
      </c>
      <c r="T187" s="1808"/>
      <c r="U187" s="1808" t="s">
        <v>111</v>
      </c>
      <c r="V187" s="1440"/>
      <c r="W187" s="2507"/>
      <c r="Y187" s="1273"/>
      <c r="Z187" s="1273"/>
      <c r="AA187" s="1273"/>
      <c r="AB187" s="1273"/>
      <c r="AC187" s="1273"/>
      <c r="AD187" s="1273"/>
      <c r="AE187" s="1273"/>
      <c r="AF187" s="1273"/>
      <c r="AG187" s="1273"/>
      <c r="AH187" s="1273"/>
      <c r="AI187" s="1273"/>
      <c r="AJ187" s="1273"/>
      <c r="AK187" s="1273"/>
      <c r="AL187" s="1850"/>
      <c r="AM187" s="1850"/>
      <c r="AN187" s="1273"/>
      <c r="AO187" s="1273"/>
      <c r="AP187" s="1273"/>
      <c r="AQ187" s="1273"/>
    </row>
    <row s="1859" customFormat="1" customHeight="1" ht="17.25">
      <c r="A188" s="1846"/>
      <c r="C188" s="1851"/>
      <c r="D188" s="1836"/>
      <c r="E188" s="1853"/>
      <c r="F188" s="1790"/>
      <c r="G188" s="1854"/>
      <c r="H188" s="1836"/>
      <c r="I188" s="1836"/>
      <c r="J188" s="1857"/>
      <c r="K188" s="1854"/>
      <c r="L188" s="2114"/>
      <c r="M188" s="2114"/>
      <c r="N188" s="2510"/>
      <c r="O188" s="2192"/>
      <c r="P188" s="2114"/>
      <c r="Q188" s="2114"/>
      <c r="R188" s="2508"/>
      <c r="S188" s="2412"/>
      <c r="T188" s="1441"/>
      <c r="U188" s="1442"/>
      <c r="V188" s="1442"/>
      <c r="W188" s="2507"/>
      <c r="Y188" s="1265"/>
      <c r="Z188" s="1265"/>
      <c r="AA188" s="1265"/>
      <c r="AB188" s="1265"/>
      <c r="AC188" s="1265"/>
      <c r="AD188" s="1265"/>
      <c r="AE188" s="1265"/>
      <c r="AF188" s="1265"/>
      <c r="AG188" s="1265"/>
      <c r="AH188" s="1265"/>
      <c r="AI188" s="1265"/>
      <c r="AJ188" s="1265"/>
      <c r="AK188" s="1265"/>
    </row>
    <row s="1859" customFormat="1" customHeight="1" ht="17.25">
      <c r="A189" s="1846"/>
      <c r="C189" s="1851"/>
      <c r="D189" s="1836"/>
      <c r="E189" s="1853"/>
      <c r="F189" s="1790"/>
      <c r="G189" s="1854"/>
      <c r="H189" s="1836"/>
      <c r="I189" s="1836"/>
      <c r="J189" s="1857"/>
      <c r="K189" s="1854"/>
      <c r="L189" s="2509"/>
      <c r="M189" s="2509"/>
      <c r="N189" s="2511"/>
      <c r="O189" s="2118"/>
      <c r="P189" s="323"/>
      <c r="Q189" s="324"/>
      <c r="R189" s="324" t="s">
        <v>251</v>
      </c>
      <c r="S189" s="1852"/>
      <c r="T189" s="1852"/>
      <c r="U189" s="1852"/>
      <c r="V189" s="1852"/>
      <c r="W189" s="1439"/>
      <c r="Y189" s="1265"/>
      <c r="Z189" s="1265"/>
      <c r="AA189" s="1265"/>
      <c r="AB189" s="1265"/>
      <c r="AC189" s="1265"/>
      <c r="AD189" s="1265"/>
      <c r="AE189" s="1265"/>
      <c r="AF189" s="1265"/>
      <c r="AG189" s="1265"/>
      <c r="AH189" s="1265"/>
      <c r="AI189" s="1265"/>
      <c r="AJ189" s="1265"/>
      <c r="AK189" s="1265"/>
    </row>
    <row customHeight="1" ht="17.25">
      <c r="A190" s="1856"/>
    </row>
    <row s="1859" customFormat="1" customHeight="1" ht="17.25">
      <c r="A191" s="1846"/>
      <c r="C191" s="1848"/>
      <c r="D191" s="1836"/>
      <c r="E191" s="1853"/>
      <c r="F191" s="1790"/>
      <c r="G191" s="1854"/>
      <c r="H191" s="1836"/>
      <c r="I191" s="1836"/>
      <c r="J191" s="1857"/>
      <c r="K191" s="1854"/>
      <c r="L191" s="1836"/>
      <c r="M191" s="1836"/>
      <c r="N191" s="2054"/>
      <c r="O191" s="1793"/>
      <c r="P191" s="2114"/>
      <c r="Q191" s="2114" t="s">
        <v>111</v>
      </c>
      <c r="R191" s="2508" t="s">
        <v>28</v>
      </c>
      <c r="S191" s="2412" t="s">
        <v>19</v>
      </c>
      <c r="T191" s="1808"/>
      <c r="U191" s="1808" t="s">
        <v>111</v>
      </c>
      <c r="V191" s="1440"/>
      <c r="W191" s="2507"/>
      <c r="Y191" s="1273"/>
      <c r="Z191" s="1273"/>
      <c r="AA191" s="1273"/>
      <c r="AB191" s="1273"/>
      <c r="AC191" s="1273"/>
      <c r="AD191" s="1273"/>
      <c r="AE191" s="1273"/>
      <c r="AF191" s="1273"/>
      <c r="AG191" s="1273"/>
      <c r="AH191" s="1273"/>
      <c r="AI191" s="1273"/>
      <c r="AJ191" s="1273"/>
      <c r="AK191" s="1273"/>
      <c r="AL191" s="1850"/>
      <c r="AM191" s="1850"/>
      <c r="AN191" s="1273"/>
      <c r="AO191" s="1273"/>
      <c r="AP191" s="1273"/>
      <c r="AQ191" s="1273"/>
    </row>
    <row s="1859" customFormat="1" customHeight="1" ht="17.25">
      <c r="A192" s="1846"/>
      <c r="C192" s="1851"/>
      <c r="D192" s="1836"/>
      <c r="E192" s="1853"/>
      <c r="F192" s="1790"/>
      <c r="G192" s="1854"/>
      <c r="H192" s="1836"/>
      <c r="I192" s="1836"/>
      <c r="J192" s="1857"/>
      <c r="K192" s="1854"/>
      <c r="L192" s="1836"/>
      <c r="M192" s="1836"/>
      <c r="N192" s="2054"/>
      <c r="O192" s="1793"/>
      <c r="P192" s="2114"/>
      <c r="Q192" s="2114"/>
      <c r="R192" s="2508"/>
      <c r="S192" s="2412"/>
      <c r="T192" s="1441"/>
      <c r="U192" s="1442"/>
      <c r="V192" s="1442"/>
      <c r="W192" s="2507"/>
      <c r="Y192" s="1265"/>
      <c r="Z192" s="1265"/>
      <c r="AA192" s="1265"/>
      <c r="AB192" s="1265"/>
      <c r="AC192" s="1265"/>
      <c r="AD192" s="1265"/>
      <c r="AE192" s="1265"/>
      <c r="AF192" s="1265"/>
      <c r="AG192" s="1265"/>
      <c r="AH192" s="1265"/>
      <c r="AI192" s="1265"/>
      <c r="AJ192" s="1265"/>
      <c r="AK192" s="1265"/>
    </row>
    <row customHeight="1" ht="17.25">
      <c r="A193" s="1856"/>
    </row>
    <row customHeight="1" ht="16.5">
      <c r="A194" s="1846"/>
      <c r="B194" s="1847"/>
      <c r="C194" s="1851"/>
      <c r="D194" s="2559"/>
      <c r="E194" s="2185"/>
      <c r="F194" s="2185"/>
      <c r="G194" s="2133"/>
      <c r="H194" s="2560"/>
      <c r="I194" s="2573"/>
      <c r="J194" s="2158"/>
      <c r="K194" s="2143"/>
      <c r="L194" s="2143"/>
      <c r="M194" s="2143"/>
      <c r="N194" s="2571"/>
      <c r="O194" s="2143"/>
      <c r="P194" s="2143"/>
      <c r="Q194" s="2143"/>
      <c r="R194" s="2569"/>
      <c r="S194" s="2143"/>
      <c r="T194" s="1789"/>
      <c r="U194" s="1789"/>
      <c r="V194" s="1858"/>
      <c r="W194" s="1302"/>
    </row>
    <row customHeight="1" ht="16.5">
      <c r="A195" s="1846"/>
      <c r="B195" s="1847"/>
      <c r="C195" s="1851"/>
      <c r="D195" s="2559"/>
      <c r="E195" s="2185"/>
      <c r="F195" s="2185"/>
      <c r="G195" s="2133"/>
      <c r="H195" s="2561"/>
      <c r="I195" s="2574"/>
      <c r="J195" s="2159"/>
      <c r="K195" s="2144"/>
      <c r="L195" s="2144"/>
      <c r="M195" s="2144"/>
      <c r="N195" s="2572"/>
      <c r="O195" s="2144"/>
      <c r="P195" s="2144"/>
      <c r="Q195" s="2144"/>
      <c r="R195" s="2570"/>
      <c r="S195" s="2144"/>
      <c r="T195" s="1303"/>
      <c r="U195" s="1303"/>
      <c r="V195" s="1303"/>
      <c r="W195" s="1304"/>
    </row>
    <row customHeight="1" ht="17.25">
      <c r="A196" s="1846"/>
      <c r="B196" s="1847"/>
      <c r="C196" s="1851"/>
      <c r="D196" s="2559"/>
      <c r="E196" s="2185"/>
      <c r="F196" s="2185"/>
      <c r="G196" s="2133"/>
      <c r="H196" s="2561"/>
      <c r="I196" s="2574"/>
      <c r="J196" s="2562"/>
      <c r="K196" s="2144"/>
      <c r="L196" s="2144"/>
      <c r="M196" s="2144"/>
      <c r="N196" s="2570"/>
      <c r="O196" s="2144"/>
      <c r="P196" s="1792"/>
      <c r="Q196" s="1303"/>
      <c r="R196" s="1303"/>
      <c r="S196" s="1859"/>
      <c r="T196" s="1859"/>
      <c r="U196" s="1859"/>
      <c r="V196" s="1859"/>
      <c r="W196" s="1304"/>
    </row>
    <row customHeight="1" ht="17.25">
      <c r="A197" s="1846"/>
      <c r="B197" s="1847"/>
      <c r="C197" s="1851"/>
      <c r="D197" s="2559"/>
      <c r="E197" s="2185"/>
      <c r="F197" s="2185"/>
      <c r="G197" s="2133"/>
      <c r="H197" s="2561"/>
      <c r="I197" s="2574"/>
      <c r="J197" s="2562"/>
      <c r="K197" s="2144"/>
      <c r="L197" s="1303"/>
      <c r="M197" s="1303"/>
      <c r="N197" s="1303"/>
      <c r="O197" s="1303"/>
      <c r="P197" s="1303"/>
      <c r="Q197" s="1303"/>
      <c r="R197" s="1303"/>
      <c r="S197" s="1859"/>
      <c r="T197" s="1859"/>
      <c r="U197" s="1859"/>
      <c r="V197" s="1859"/>
      <c r="W197" s="1304"/>
    </row>
    <row customHeight="1" ht="17.25">
      <c r="A198" s="1846"/>
      <c r="B198" s="1847"/>
      <c r="C198" s="1851"/>
      <c r="D198" s="2559"/>
      <c r="E198" s="2185"/>
      <c r="F198" s="2185"/>
      <c r="G198" s="2133"/>
      <c r="H198" s="1305"/>
      <c r="I198" s="1306"/>
      <c r="J198" s="1306"/>
      <c r="K198" s="1306"/>
      <c r="L198" s="1306"/>
      <c r="M198" s="1306"/>
      <c r="N198" s="1306"/>
      <c r="O198" s="1306"/>
      <c r="P198" s="1306"/>
      <c r="Q198" s="1306"/>
      <c r="R198" s="1306"/>
      <c r="S198" s="1860"/>
      <c r="T198" s="1860"/>
      <c r="U198" s="1860"/>
      <c r="V198" s="1860"/>
      <c r="W198" s="1308"/>
    </row>
    <row r="200" s="1821" customFormat="1" customHeight="1" ht="17.25">
      <c r="A200" s="1821" t="s">
        <v>1981</v>
      </c>
    </row>
    <row customHeight="1" ht="17.25">
      <c r="G201" s="1845"/>
      <c r="H201" s="1845"/>
      <c r="I201" s="1845"/>
      <c r="M201" s="1841"/>
    </row>
    <row s="1856" customFormat="1" customHeight="1" ht="15">
      <c r="D202" s="2529"/>
      <c r="E202" s="2205"/>
      <c r="F202" s="2205"/>
      <c r="G202" s="2191"/>
      <c r="H202" s="1570"/>
      <c r="I202" s="2533">
        <v>1</v>
      </c>
      <c r="J202" s="2507"/>
      <c r="K202" s="1585"/>
      <c r="L202" s="2191" t="s">
        <v>62</v>
      </c>
      <c r="M202" s="2191" t="s">
        <v>62</v>
      </c>
      <c r="N202" s="1570"/>
      <c r="O202" s="2114" t="s">
        <v>111</v>
      </c>
      <c r="P202" s="2523"/>
      <c r="Q202" s="1586"/>
      <c r="R202" s="2191" t="s">
        <v>62</v>
      </c>
      <c r="S202" s="2191" t="s">
        <v>62</v>
      </c>
      <c r="T202" s="1861"/>
      <c r="U202" s="2114" t="s">
        <v>111</v>
      </c>
      <c r="V202" s="2530" t="str">
        <f>IF(AK202="","",INDEX(TERRITORY_MR_LIST,MATCH(AK202,TERRITORY_LIST_ID,0)))</f>
        <v/>
      </c>
      <c r="W202" s="1587"/>
      <c r="X202" s="2191" t="s">
        <v>62</v>
      </c>
      <c r="Y202" s="2191" t="s">
        <v>19</v>
      </c>
      <c r="Z202" s="1570"/>
      <c r="AA202" s="2114" t="s">
        <v>111</v>
      </c>
      <c r="AB202" s="2532"/>
      <c r="AC202" s="1588"/>
      <c r="AD202" s="2191" t="s">
        <v>62</v>
      </c>
      <c r="AE202" s="2191" t="s">
        <v>19</v>
      </c>
      <c r="AF202" s="1568"/>
      <c r="AG202" s="1817" t="s">
        <v>111</v>
      </c>
      <c r="AH202" s="1578"/>
      <c r="AI202" s="1807"/>
    </row>
    <row s="1856" customFormat="1" customHeight="1" ht="15">
      <c r="D203" s="2529"/>
      <c r="E203" s="2205"/>
      <c r="F203" s="2205"/>
      <c r="G203" s="2192"/>
      <c r="H203" s="1570"/>
      <c r="I203" s="2533"/>
      <c r="J203" s="2507"/>
      <c r="K203" s="1569"/>
      <c r="L203" s="2192"/>
      <c r="M203" s="2192"/>
      <c r="N203" s="1570"/>
      <c r="O203" s="2114"/>
      <c r="P203" s="2523"/>
      <c r="Q203" s="1566"/>
      <c r="R203" s="2192"/>
      <c r="S203" s="2192"/>
      <c r="T203" s="1861"/>
      <c r="U203" s="2114"/>
      <c r="V203" s="2531"/>
      <c r="W203" s="1567"/>
      <c r="X203" s="2192"/>
      <c r="Y203" s="2192"/>
      <c r="Z203" s="1570"/>
      <c r="AA203" s="2114"/>
      <c r="AB203" s="2501"/>
      <c r="AC203" s="1571"/>
      <c r="AD203" s="2118"/>
      <c r="AE203" s="2118"/>
      <c r="AF203" s="1572"/>
      <c r="AG203" s="1573"/>
      <c r="AH203" s="2524" t="s">
        <v>1982</v>
      </c>
      <c r="AI203" s="2525"/>
    </row>
    <row s="1856" customFormat="1" customHeight="1" ht="15">
      <c r="D204" s="2529"/>
      <c r="E204" s="2205"/>
      <c r="F204" s="2205"/>
      <c r="G204" s="2192"/>
      <c r="H204" s="1570"/>
      <c r="I204" s="2533"/>
      <c r="J204" s="2507"/>
      <c r="K204" s="1569"/>
      <c r="L204" s="2192"/>
      <c r="M204" s="2192"/>
      <c r="N204" s="1570"/>
      <c r="O204" s="2114"/>
      <c r="P204" s="2523"/>
      <c r="Q204" s="1566"/>
      <c r="R204" s="2192"/>
      <c r="S204" s="2192"/>
      <c r="T204" s="1861"/>
      <c r="U204" s="2114"/>
      <c r="V204" s="2531"/>
      <c r="W204" s="1567"/>
      <c r="X204" s="2192"/>
      <c r="Y204" s="2192"/>
      <c r="Z204" s="1609"/>
      <c r="AA204" s="1575"/>
      <c r="AB204" s="2526" t="s">
        <v>1983</v>
      </c>
      <c r="AC204" s="2526"/>
      <c r="AD204" s="2526"/>
      <c r="AE204" s="2526"/>
      <c r="AF204" s="2526"/>
      <c r="AG204" s="2526"/>
      <c r="AH204" s="2526"/>
      <c r="AI204" s="2527"/>
    </row>
    <row s="1856" customFormat="1" customHeight="1" ht="15">
      <c r="D205" s="2529"/>
      <c r="E205" s="2205"/>
      <c r="F205" s="2205"/>
      <c r="G205" s="2192"/>
      <c r="H205" s="1570"/>
      <c r="I205" s="2533"/>
      <c r="J205" s="2507"/>
      <c r="K205" s="1569"/>
      <c r="L205" s="2192"/>
      <c r="M205" s="2192"/>
      <c r="N205" s="1570"/>
      <c r="O205" s="2114"/>
      <c r="P205" s="2528"/>
      <c r="Q205" s="1566"/>
      <c r="R205" s="2192"/>
      <c r="S205" s="2192"/>
      <c r="T205" s="1862"/>
      <c r="U205" s="1610"/>
      <c r="V205" s="2524" t="s">
        <v>105</v>
      </c>
      <c r="W205" s="2524"/>
      <c r="X205" s="2524"/>
      <c r="Y205" s="2524"/>
      <c r="Z205" s="2524"/>
      <c r="AA205" s="2524"/>
      <c r="AB205" s="2524"/>
      <c r="AC205" s="2524"/>
      <c r="AD205" s="2524"/>
      <c r="AE205" s="2524"/>
      <c r="AF205" s="2524"/>
      <c r="AG205" s="2524"/>
      <c r="AH205" s="2524"/>
      <c r="AI205" s="2525"/>
    </row>
    <row s="1856" customFormat="1" customHeight="1" ht="11.25">
      <c r="D206" s="2529"/>
      <c r="E206" s="2205"/>
      <c r="F206" s="2205"/>
      <c r="G206" s="2192"/>
      <c r="H206" s="1574"/>
      <c r="I206" s="2533"/>
      <c r="J206" s="2534"/>
      <c r="K206" s="1569"/>
      <c r="L206" s="2192"/>
      <c r="M206" s="2192"/>
      <c r="N206" s="1574"/>
      <c r="O206" s="1575"/>
      <c r="P206" s="2524" t="s">
        <v>1984</v>
      </c>
      <c r="Q206" s="2524"/>
      <c r="R206" s="2524"/>
      <c r="S206" s="2524"/>
      <c r="T206" s="2524"/>
      <c r="U206" s="2524"/>
      <c r="V206" s="2524"/>
      <c r="W206" s="2524"/>
      <c r="X206" s="2524"/>
      <c r="Y206" s="2524"/>
      <c r="Z206" s="2524"/>
      <c r="AA206" s="2524"/>
      <c r="AB206" s="2524"/>
      <c r="AC206" s="2524"/>
      <c r="AD206" s="2524"/>
      <c r="AE206" s="2524"/>
      <c r="AF206" s="2524"/>
      <c r="AG206" s="2524"/>
      <c r="AH206" s="2524"/>
      <c r="AI206" s="2525"/>
    </row>
    <row s="1560" customFormat="1" customHeight="1" ht="11.25">
      <c r="D207" s="2529"/>
      <c r="E207" s="2205"/>
      <c r="F207" s="2205"/>
      <c r="G207" s="2118"/>
      <c r="H207" s="1576"/>
      <c r="I207" s="1577"/>
      <c r="J207" s="2524" t="s">
        <v>264</v>
      </c>
      <c r="K207" s="2524"/>
      <c r="L207" s="2524"/>
      <c r="M207" s="2524"/>
      <c r="N207" s="2524"/>
      <c r="O207" s="2524"/>
      <c r="P207" s="2524"/>
      <c r="Q207" s="2524"/>
      <c r="R207" s="2524"/>
      <c r="S207" s="2524"/>
      <c r="T207" s="2524"/>
      <c r="U207" s="2524"/>
      <c r="V207" s="2524"/>
      <c r="W207" s="2524"/>
      <c r="X207" s="2524"/>
      <c r="Y207" s="2524"/>
      <c r="Z207" s="2524"/>
      <c r="AA207" s="2524"/>
      <c r="AB207" s="2524"/>
      <c r="AC207" s="2524"/>
      <c r="AD207" s="2524"/>
      <c r="AE207" s="2524"/>
      <c r="AF207" s="2524"/>
      <c r="AG207" s="2524"/>
      <c r="AH207" s="2524"/>
      <c r="AI207" s="2525"/>
      <c r="BK207" s="1580"/>
    </row>
    <row customHeight="1" ht="17.25">
      <c r="G208" s="1845"/>
      <c r="I208" s="1845"/>
      <c r="J208" s="1845"/>
      <c r="N208" s="1841"/>
    </row>
    <row s="1856" customFormat="1" customHeight="1" ht="15">
      <c r="D209" s="2529"/>
      <c r="E209" s="2205"/>
      <c r="F209" s="2205"/>
      <c r="G209" s="2185"/>
      <c r="H209" s="1605"/>
      <c r="I209" s="2187"/>
      <c r="J209" s="2158"/>
      <c r="K209" s="1791"/>
      <c r="L209" s="2143"/>
      <c r="M209" s="2143"/>
      <c r="N209" s="1590"/>
      <c r="O209" s="2143"/>
      <c r="P209" s="2158"/>
      <c r="Q209" s="1795"/>
      <c r="R209" s="2143"/>
      <c r="S209" s="2143"/>
      <c r="T209" s="1863"/>
      <c r="U209" s="2143"/>
      <c r="V209" s="2158"/>
      <c r="W209" s="1593"/>
      <c r="X209" s="2143"/>
      <c r="Y209" s="2143"/>
      <c r="Z209" s="1590"/>
      <c r="AA209" s="2143"/>
      <c r="AB209" s="2158"/>
      <c r="AC209" s="1594"/>
      <c r="AD209" s="2143"/>
      <c r="AE209" s="2143"/>
      <c r="AF209" s="1789"/>
      <c r="AG209" s="1789"/>
      <c r="AH209" s="1595"/>
      <c r="AI209" s="1302"/>
    </row>
    <row s="1856" customFormat="1" customHeight="1" ht="15">
      <c r="D210" s="2529"/>
      <c r="E210" s="2205"/>
      <c r="F210" s="2205"/>
      <c r="G210" s="2185"/>
      <c r="H210" s="1606"/>
      <c r="I210" s="2188"/>
      <c r="J210" s="2159"/>
      <c r="K210" s="1616"/>
      <c r="L210" s="2144"/>
      <c r="M210" s="2144"/>
      <c r="N210" s="1596"/>
      <c r="O210" s="2144"/>
      <c r="P210" s="2159"/>
      <c r="Q210" s="1796"/>
      <c r="R210" s="2144"/>
      <c r="S210" s="2144"/>
      <c r="T210" s="1864"/>
      <c r="U210" s="2144"/>
      <c r="V210" s="2159"/>
      <c r="W210" s="1599"/>
      <c r="X210" s="2144"/>
      <c r="Y210" s="2144"/>
      <c r="Z210" s="1596"/>
      <c r="AA210" s="2144"/>
      <c r="AB210" s="2159"/>
      <c r="AC210" s="1600"/>
      <c r="AD210" s="2144"/>
      <c r="AE210" s="2144"/>
      <c r="AF210" s="1794"/>
      <c r="AG210" s="1794"/>
      <c r="AH210" s="2183"/>
      <c r="AI210" s="2184"/>
    </row>
    <row s="1856" customFormat="1" customHeight="1" ht="15">
      <c r="D211" s="2529"/>
      <c r="E211" s="2205"/>
      <c r="F211" s="2205"/>
      <c r="G211" s="2185"/>
      <c r="H211" s="1606"/>
      <c r="I211" s="2188"/>
      <c r="J211" s="2159"/>
      <c r="K211" s="1616"/>
      <c r="L211" s="2144"/>
      <c r="M211" s="2144"/>
      <c r="N211" s="1596"/>
      <c r="O211" s="2144"/>
      <c r="P211" s="2159"/>
      <c r="Q211" s="1796"/>
      <c r="R211" s="2144"/>
      <c r="S211" s="2144"/>
      <c r="T211" s="1864"/>
      <c r="U211" s="2144"/>
      <c r="V211" s="2159"/>
      <c r="W211" s="1599"/>
      <c r="X211" s="2144"/>
      <c r="Y211" s="2144"/>
      <c r="Z211" s="1792"/>
      <c r="AA211" s="1794"/>
      <c r="AB211" s="2183"/>
      <c r="AC211" s="2183"/>
      <c r="AD211" s="2183"/>
      <c r="AE211" s="2183"/>
      <c r="AF211" s="2183"/>
      <c r="AG211" s="2183"/>
      <c r="AH211" s="2183"/>
      <c r="AI211" s="2184"/>
    </row>
    <row s="1856" customFormat="1" customHeight="1" ht="15">
      <c r="D212" s="2529"/>
      <c r="E212" s="2205"/>
      <c r="F212" s="2205"/>
      <c r="G212" s="2185"/>
      <c r="H212" s="1606"/>
      <c r="I212" s="2188"/>
      <c r="J212" s="2159"/>
      <c r="K212" s="1616"/>
      <c r="L212" s="2144"/>
      <c r="M212" s="2144"/>
      <c r="N212" s="1596"/>
      <c r="O212" s="2144"/>
      <c r="P212" s="2159"/>
      <c r="Q212" s="1796"/>
      <c r="R212" s="2144"/>
      <c r="S212" s="2144"/>
      <c r="T212" s="1865"/>
      <c r="U212" s="1603"/>
      <c r="V212" s="2183"/>
      <c r="W212" s="2183"/>
      <c r="X212" s="2183"/>
      <c r="Y212" s="2183"/>
      <c r="Z212" s="2183"/>
      <c r="AA212" s="2183"/>
      <c r="AB212" s="2183"/>
      <c r="AC212" s="2183"/>
      <c r="AD212" s="2183"/>
      <c r="AE212" s="2183"/>
      <c r="AF212" s="2183"/>
      <c r="AG212" s="2183"/>
      <c r="AH212" s="2183"/>
      <c r="AI212" s="2184"/>
    </row>
    <row s="1856" customFormat="1" customHeight="1" ht="11.25">
      <c r="D213" s="2529"/>
      <c r="E213" s="2205"/>
      <c r="F213" s="2205"/>
      <c r="G213" s="2185"/>
      <c r="H213" s="1607"/>
      <c r="I213" s="2188"/>
      <c r="J213" s="2159"/>
      <c r="K213" s="1616"/>
      <c r="L213" s="2144"/>
      <c r="M213" s="2144"/>
      <c r="N213" s="1794"/>
      <c r="O213" s="1794"/>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s="1560" customFormat="1" customHeight="1" ht="11.25">
      <c r="D214" s="2529"/>
      <c r="E214" s="2205"/>
      <c r="F214" s="2205"/>
      <c r="G214" s="2190"/>
      <c r="H214" s="1604"/>
      <c r="I214" s="1608"/>
      <c r="J214" s="2193"/>
      <c r="K214" s="2193"/>
      <c r="L214" s="2193"/>
      <c r="M214" s="2193"/>
      <c r="N214" s="2193"/>
      <c r="O214" s="2193"/>
      <c r="P214" s="2193"/>
      <c r="Q214" s="2193"/>
      <c r="R214" s="2193"/>
      <c r="S214" s="2193"/>
      <c r="T214" s="2193"/>
      <c r="U214" s="2193"/>
      <c r="V214" s="2193"/>
      <c r="W214" s="2193"/>
      <c r="X214" s="2193"/>
      <c r="Y214" s="2193"/>
      <c r="Z214" s="2193"/>
      <c r="AA214" s="2193"/>
      <c r="AB214" s="2193"/>
      <c r="AC214" s="2193"/>
      <c r="AD214" s="2193"/>
      <c r="AE214" s="2193"/>
      <c r="AF214" s="2193"/>
      <c r="AG214" s="2193"/>
      <c r="AH214" s="2193"/>
      <c r="AI214" s="2194"/>
      <c r="BK214" s="1580"/>
    </row>
    <row customHeight="1" ht="17.25">
      <c r="A215" s="1856"/>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915F32-B7D4-7153-AFA1-C3F5FDA8F38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6" width="43.140625"/>
    <col min="2" max="2" style="846" width="43.140625" hidden="1"/>
    <col min="3" max="3" style="846" width="43.140625"/>
    <col min="4" max="5" style="846" width="36.421875" customWidth="1"/>
    <col min="6" max="8" style="987" width="36.421875" customWidth="1"/>
  </cols>
  <sheetData>
    <row customHeight="1" ht="9">
      <c r="A1" s="852" t="s">
        <v>1985</v>
      </c>
      <c r="B1" s="852"/>
      <c r="C1" s="988" t="s">
        <v>1986</v>
      </c>
      <c r="D1" s="986" t="s">
        <v>844</v>
      </c>
      <c r="E1" s="986" t="s">
        <v>890</v>
      </c>
      <c r="F1" s="986" t="s">
        <v>943</v>
      </c>
      <c r="G1" s="986" t="s">
        <v>930</v>
      </c>
      <c r="H1" s="986" t="s">
        <v>1660</v>
      </c>
    </row>
    <row customHeight="1" ht="9">
      <c r="A2" s="989" t="s">
        <v>1987</v>
      </c>
      <c r="B2" s="989"/>
      <c r="C2" s="990" t="str">
        <f>INDEX(TEMPLATE_NUMBER_FORM_LIST,MATCH(TEMPLATE_SPHERE,TEMPLATE_SPHERE_LIST,0))</f>
        <v>10</v>
      </c>
      <c r="D2" s="989" t="s">
        <v>1509</v>
      </c>
      <c r="E2" s="989" t="s">
        <v>151</v>
      </c>
      <c r="F2" s="991" t="s">
        <v>151</v>
      </c>
      <c r="G2" s="989" t="s">
        <v>151</v>
      </c>
      <c r="H2" s="992"/>
    </row>
    <row customHeight="1" ht="63">
      <c r="A3" s="852"/>
      <c r="B3" s="852" t="s">
        <v>111</v>
      </c>
      <c r="C3" s="99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90" t="s">
        <v>1988</v>
      </c>
      <c r="E3" s="99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91"/>
      <c r="G3" s="992"/>
      <c r="H3" s="852"/>
    </row>
    <row customHeight="1" ht="243">
      <c r="A4" s="852" t="s">
        <v>1989</v>
      </c>
      <c r="B4" s="852" t="s">
        <v>112</v>
      </c>
      <c r="C4" s="990" t="str">
        <f>IF(TEMPLATE_SPHERE="HEAT",D4,IF(TEMPLATE_SPHERE="TKO",H4,E4))</f>
        <v>Форма 1. Информация об организации, осуществляющей холодное водоснабжение (общая информация)</v>
      </c>
      <c r="D4" s="989" t="s">
        <v>1990</v>
      </c>
      <c r="E4" s="99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9"/>
      <c r="G4" s="989"/>
      <c r="H4" s="852" t="s">
        <v>1991</v>
      </c>
    </row>
    <row customHeight="1" ht="117">
      <c r="A5" s="852" t="s">
        <v>1992</v>
      </c>
      <c r="B5" s="852" t="s">
        <v>91</v>
      </c>
      <c r="C5" s="99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2" t="s">
        <v>1993</v>
      </c>
      <c r="E5" s="8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2"/>
      <c r="G5" s="992"/>
      <c r="H5" s="852" t="s">
        <v>1994</v>
      </c>
    </row>
    <row customHeight="1" ht="90">
      <c r="A6" s="852" t="s">
        <v>1995</v>
      </c>
      <c r="B6" s="852" t="s">
        <v>92</v>
      </c>
      <c r="C6" s="990"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2"/>
      <c r="G6" s="852"/>
      <c r="H6" s="992"/>
    </row>
    <row customHeight="1" ht="45">
      <c r="A7" s="852" t="s">
        <v>1996</v>
      </c>
      <c r="B7" s="852" t="s">
        <v>113</v>
      </c>
      <c r="C7" s="99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2" t="s">
        <v>1997</v>
      </c>
      <c r="E7" s="852" t="s">
        <v>1998</v>
      </c>
      <c r="F7" s="992"/>
      <c r="G7" s="992"/>
      <c r="H7" s="992"/>
    </row>
    <row customHeight="1" ht="108">
      <c r="A8" s="852" t="s">
        <v>1999</v>
      </c>
      <c r="B8" s="852" t="s">
        <v>93</v>
      </c>
      <c r="C8" s="99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2" t="s">
        <v>1201</v>
      </c>
      <c r="E8" s="852" t="s">
        <v>2000</v>
      </c>
      <c r="F8" s="992"/>
      <c r="G8" s="992"/>
      <c r="H8" s="992"/>
    </row>
    <row customHeight="1" ht="99">
      <c r="A9" s="852" t="s">
        <v>2001</v>
      </c>
      <c r="B9" s="852"/>
      <c r="C9" s="852" t="s">
        <v>2002</v>
      </c>
      <c r="D9" s="852"/>
      <c r="E9" s="852"/>
      <c r="F9" s="992"/>
      <c r="G9" s="992"/>
      <c r="H9" s="992"/>
    </row>
    <row customHeight="1" ht="126">
      <c r="A10" s="852" t="s">
        <v>2003</v>
      </c>
      <c r="B10" s="852"/>
      <c r="C10" s="852" t="s">
        <v>2004</v>
      </c>
      <c r="D10" s="852"/>
      <c r="E10" s="852"/>
      <c r="F10" s="992"/>
      <c r="G10" s="992"/>
      <c r="H10" s="992"/>
    </row>
    <row customHeight="1" ht="108">
      <c r="A11" s="852" t="s">
        <v>2005</v>
      </c>
      <c r="B11" s="852"/>
      <c r="C11" s="852" t="s">
        <v>2006</v>
      </c>
      <c r="D11" s="852"/>
      <c r="E11" s="852"/>
      <c r="F11" s="992"/>
      <c r="G11" s="992"/>
      <c r="H11" s="992"/>
    </row>
    <row customHeight="1" ht="54">
      <c r="A12" s="852" t="s">
        <v>2007</v>
      </c>
      <c r="B12" s="852"/>
      <c r="C12" s="852" t="s">
        <v>2008</v>
      </c>
      <c r="D12" s="852"/>
      <c r="E12" s="852"/>
      <c r="F12" s="992"/>
      <c r="G12" s="992"/>
      <c r="H12" s="992"/>
    </row>
    <row customHeight="1" ht="45">
      <c r="A13" s="852" t="s">
        <v>2009</v>
      </c>
      <c r="B13" s="852"/>
      <c r="C13" s="852" t="s">
        <v>2010</v>
      </c>
      <c r="D13" s="852"/>
      <c r="E13" s="852"/>
      <c r="F13" s="992"/>
      <c r="G13" s="992"/>
      <c r="H13" s="992"/>
    </row>
    <row customHeight="1" ht="117">
      <c r="A14" s="852" t="s">
        <v>2011</v>
      </c>
      <c r="B14" s="852"/>
      <c r="C14" s="852" t="s">
        <v>2012</v>
      </c>
      <c r="D14" s="852"/>
      <c r="E14" s="852"/>
      <c r="F14" s="992"/>
      <c r="G14" s="992"/>
      <c r="H14" s="992"/>
    </row>
    <row customHeight="1" ht="117">
      <c r="A15" s="852" t="s">
        <v>2013</v>
      </c>
      <c r="B15" s="852"/>
      <c r="C15" s="852" t="s">
        <v>2014</v>
      </c>
      <c r="D15" s="852"/>
      <c r="E15" s="852"/>
      <c r="F15" s="992"/>
      <c r="G15" s="992"/>
      <c r="H15" s="992"/>
    </row>
    <row customHeight="1" ht="63">
      <c r="A16" s="852" t="s">
        <v>2015</v>
      </c>
      <c r="B16" s="852"/>
      <c r="C16" s="852" t="s">
        <v>2016</v>
      </c>
      <c r="D16" s="852"/>
      <c r="E16" s="852"/>
      <c r="F16" s="992"/>
      <c r="G16" s="992"/>
      <c r="H16" s="992"/>
    </row>
    <row customHeight="1" ht="54">
      <c r="A17" s="852" t="s">
        <v>2017</v>
      </c>
      <c r="B17" s="852"/>
      <c r="C17" s="990" t="s">
        <v>2018</v>
      </c>
      <c r="D17" s="852"/>
      <c r="E17" s="852"/>
      <c r="F17" s="992"/>
      <c r="G17" s="992"/>
      <c r="H17" s="992"/>
    </row>
    <row customHeight="1" ht="27">
      <c r="A18" s="852" t="s">
        <v>2019</v>
      </c>
      <c r="B18" s="852"/>
      <c r="C18" s="990" t="s">
        <v>2020</v>
      </c>
      <c r="D18" s="852"/>
      <c r="E18" s="852"/>
      <c r="F18" s="992"/>
      <c r="G18" s="992"/>
      <c r="H18" s="992"/>
    </row>
    <row customHeight="1" ht="54">
      <c r="A19" s="852" t="s">
        <v>2021</v>
      </c>
      <c r="B19" s="852"/>
      <c r="C19" s="990" t="s">
        <v>2022</v>
      </c>
      <c r="D19" s="852"/>
      <c r="E19" s="852"/>
      <c r="F19" s="992"/>
      <c r="G19" s="992"/>
      <c r="H19" s="992"/>
    </row>
    <row customHeight="1" ht="36">
      <c r="A20" s="852" t="s">
        <v>2023</v>
      </c>
      <c r="B20" s="852"/>
      <c r="C20" s="990" t="s">
        <v>2024</v>
      </c>
      <c r="D20" s="852"/>
      <c r="E20" s="852"/>
      <c r="F20" s="992"/>
      <c r="G20" s="992"/>
      <c r="H20" s="992"/>
    </row>
    <row customHeight="1" ht="36">
      <c r="A21" s="852" t="s">
        <v>2025</v>
      </c>
      <c r="B21" s="852"/>
      <c r="C21" s="990" t="s">
        <v>2026</v>
      </c>
      <c r="D21" s="852"/>
      <c r="E21" s="852"/>
      <c r="F21" s="992"/>
      <c r="G21" s="992"/>
      <c r="H21" s="992"/>
    </row>
    <row customHeight="1" ht="27">
      <c r="A22" s="852" t="s">
        <v>2027</v>
      </c>
      <c r="B22" s="852"/>
      <c r="C22" s="990" t="s">
        <v>2028</v>
      </c>
      <c r="D22" s="852"/>
      <c r="E22" s="852"/>
      <c r="F22" s="992"/>
      <c r="G22" s="992"/>
      <c r="H22" s="992"/>
    </row>
    <row customHeight="1" ht="36">
      <c r="A23" s="852" t="s">
        <v>2029</v>
      </c>
      <c r="B23" s="852"/>
      <c r="C23" s="990" t="s">
        <v>2030</v>
      </c>
      <c r="D23" s="852"/>
      <c r="E23" s="852"/>
      <c r="F23" s="992"/>
      <c r="G23" s="992"/>
      <c r="H23" s="992"/>
    </row>
    <row customHeight="1" ht="28.5">
      <c r="A24" s="852" t="s">
        <v>2031</v>
      </c>
      <c r="B24" s="852"/>
      <c r="C24" s="990" t="s">
        <v>2032</v>
      </c>
      <c r="D24" s="852"/>
      <c r="E24" s="852"/>
      <c r="F24" s="992"/>
      <c r="G24" s="992"/>
      <c r="H24" s="992"/>
    </row>
    <row customHeight="1" ht="36">
      <c r="A25" s="852" t="s">
        <v>2033</v>
      </c>
      <c r="B25" s="852"/>
      <c r="C25" s="990" t="s">
        <v>2034</v>
      </c>
      <c r="D25" s="852"/>
      <c r="E25" s="852"/>
      <c r="F25" s="992"/>
      <c r="G25" s="992"/>
      <c r="H25" s="992"/>
    </row>
    <row customHeight="1" ht="27">
      <c r="A26" s="852" t="s">
        <v>2035</v>
      </c>
      <c r="B26" s="852"/>
      <c r="C26" s="990" t="s">
        <v>2036</v>
      </c>
      <c r="D26" s="852"/>
      <c r="E26" s="852"/>
      <c r="F26" s="992"/>
      <c r="G26" s="992"/>
      <c r="H26" s="992"/>
    </row>
    <row customHeight="1" ht="36">
      <c r="A27" s="852" t="s">
        <v>2037</v>
      </c>
      <c r="B27" s="852"/>
      <c r="C27" s="990" t="s">
        <v>2038</v>
      </c>
      <c r="D27" s="852"/>
      <c r="E27" s="852"/>
      <c r="F27" s="992"/>
      <c r="G27" s="992"/>
      <c r="H27" s="992"/>
    </row>
    <row customHeight="1" ht="28.5">
      <c r="A28" s="852" t="s">
        <v>2039</v>
      </c>
      <c r="B28" s="852"/>
      <c r="C28" s="990" t="s">
        <v>2040</v>
      </c>
      <c r="D28" s="852"/>
      <c r="E28" s="852"/>
      <c r="F28" s="992"/>
      <c r="G28" s="992"/>
      <c r="H28" s="992"/>
    </row>
    <row customHeight="1" ht="126">
      <c r="A29" s="852" t="s">
        <v>2041</v>
      </c>
      <c r="B29" s="852" t="s">
        <v>1611</v>
      </c>
      <c r="C29" s="990"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2" t="s">
        <v>2042</v>
      </c>
      <c r="E29" s="8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2"/>
      <c r="G29" s="992"/>
      <c r="H29" s="852" t="s">
        <v>2043</v>
      </c>
    </row>
    <row customHeight="1" ht="36">
      <c r="A30" s="852" t="s">
        <v>2044</v>
      </c>
      <c r="B30" s="852"/>
      <c r="C30" s="99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2" t="s">
        <v>2045</v>
      </c>
      <c r="E30" s="8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2"/>
      <c r="G30" s="992"/>
      <c r="H30" s="992"/>
    </row>
    <row customHeight="1" ht="54">
      <c r="A31" s="852" t="s">
        <v>2046</v>
      </c>
      <c r="B31" s="852"/>
      <c r="C31" s="990" t="str">
        <f>IF(TEMPLATE_SPHERE="HEAT",D31,IF(TEMPLATE_SPHERE="TKO",H31,E31))</f>
        <v>Форма 1. Информация об организации, осуществляющей холодное водоснабжение (общая информация)</v>
      </c>
      <c r="D31" s="852" t="s">
        <v>2047</v>
      </c>
      <c r="E31" s="85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2"/>
      <c r="G31" s="992"/>
      <c r="H31" s="992"/>
    </row>
    <row customHeight="1" ht="198">
      <c r="A32" s="852" t="s">
        <v>2048</v>
      </c>
      <c r="B32" s="852"/>
      <c r="C32" s="990"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2" t="s">
        <v>2049</v>
      </c>
      <c r="E32" s="8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2"/>
      <c r="G32" s="992"/>
      <c r="H32" s="852" t="s">
        <v>2050</v>
      </c>
    </row>
    <row customHeight="1" ht="9">
      <c r="A33" s="852"/>
      <c r="B33" s="852"/>
      <c r="C33" s="990"/>
      <c r="D33" s="852"/>
      <c r="E33" s="852"/>
      <c r="F33" s="992"/>
      <c r="G33" s="992"/>
      <c r="H33" s="992"/>
    </row>
    <row customHeight="1" ht="9">
      <c r="A34" s="852"/>
      <c r="B34" s="852" t="s">
        <v>1547</v>
      </c>
      <c r="C34" s="990">
        <f>INDEX(TEMPLATE_NAME_FORM_LIST,B34,MATCH(TEMPLATE_SPHERE,TEMPLATE_SPHERE_LIST,0))</f>
        <v>0</v>
      </c>
      <c r="D34" s="852"/>
      <c r="E34" s="852"/>
      <c r="F34" s="992"/>
      <c r="G34" s="992"/>
      <c r="H34" s="992"/>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7C75C1A-86BC-0E0E-33CD-0819061C8481}"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6" width="9.140625"/>
    <col min="3" max="7" style="848" width="8.00390625" customWidth="1"/>
    <col min="8" max="12" style="848" width="8.57421875" customWidth="1"/>
    <col min="13" max="14" style="848" width="27.7109375" customWidth="1"/>
    <col min="15" max="19" style="848" width="5.140625" customWidth="1"/>
    <col min="20" max="24" style="848" width="27.7109375" customWidth="1"/>
    <col min="25" max="25" style="1007" width="1.8515625" customWidth="1"/>
    <col min="26" max="26" style="846" width="27.7109375" customWidth="1"/>
    <col min="27" max="27" style="857" width="27.7109375" customWidth="1"/>
    <col min="28" max="29" style="846" width="27.7109375" customWidth="1"/>
    <col min="30" max="30" style="846" width="3.8515625" customWidth="1"/>
    <col min="31" max="34" style="846" width="9.140625"/>
  </cols>
  <sheetData>
    <row s="845" customFormat="1" customHeight="1" ht="18">
      <c r="A1" s="904"/>
      <c r="B1" s="904"/>
      <c r="C1" s="904" t="s">
        <v>2051</v>
      </c>
      <c r="D1" s="904"/>
      <c r="E1" s="904"/>
      <c r="F1" s="904"/>
      <c r="G1" s="904"/>
      <c r="H1" s="904" t="s">
        <v>2052</v>
      </c>
      <c r="I1" s="904"/>
      <c r="J1" s="904"/>
      <c r="K1" s="904"/>
      <c r="L1" s="904"/>
      <c r="M1" s="904" t="s">
        <v>2053</v>
      </c>
      <c r="N1" s="904" t="s">
        <v>2054</v>
      </c>
      <c r="O1" s="2598" t="s">
        <v>2055</v>
      </c>
      <c r="P1" s="2598"/>
      <c r="Q1" s="2598"/>
      <c r="R1" s="2598"/>
      <c r="S1" s="2598"/>
      <c r="T1" s="2598" t="s">
        <v>2053</v>
      </c>
      <c r="U1" s="2598"/>
      <c r="V1" s="2598"/>
      <c r="W1" s="2598"/>
      <c r="X1" s="2598"/>
      <c r="Y1" s="1005"/>
      <c r="Z1" s="2598" t="s">
        <v>2056</v>
      </c>
      <c r="AA1" s="2598"/>
      <c r="AB1" s="2598"/>
      <c r="AC1" s="2598"/>
      <c r="AD1" s="2598"/>
    </row>
    <row customHeight="1" ht="18">
      <c r="A2" s="852"/>
      <c r="B2" s="852"/>
      <c r="C2" s="847" t="s">
        <v>844</v>
      </c>
      <c r="D2" s="847" t="s">
        <v>890</v>
      </c>
      <c r="E2" s="847" t="s">
        <v>943</v>
      </c>
      <c r="F2" s="847" t="s">
        <v>930</v>
      </c>
      <c r="G2" s="847" t="s">
        <v>1660</v>
      </c>
      <c r="H2" s="849"/>
      <c r="I2" s="849"/>
      <c r="J2" s="849"/>
      <c r="K2" s="849"/>
      <c r="L2" s="849"/>
      <c r="M2" s="849"/>
      <c r="N2" s="849"/>
      <c r="O2" s="847" t="s">
        <v>844</v>
      </c>
      <c r="P2" s="847" t="s">
        <v>890</v>
      </c>
      <c r="Q2" s="847" t="s">
        <v>930</v>
      </c>
      <c r="R2" s="847" t="s">
        <v>943</v>
      </c>
      <c r="S2" s="847" t="s">
        <v>1660</v>
      </c>
      <c r="T2" s="847" t="s">
        <v>844</v>
      </c>
      <c r="U2" s="847" t="s">
        <v>890</v>
      </c>
      <c r="V2" s="847" t="s">
        <v>930</v>
      </c>
      <c r="W2" s="847" t="s">
        <v>943</v>
      </c>
      <c r="X2" s="847" t="s">
        <v>1660</v>
      </c>
      <c r="Y2" s="847"/>
      <c r="Z2" s="847" t="s">
        <v>844</v>
      </c>
      <c r="AA2" s="856" t="s">
        <v>890</v>
      </c>
      <c r="AB2" s="847" t="s">
        <v>930</v>
      </c>
      <c r="AC2" s="847" t="s">
        <v>943</v>
      </c>
      <c r="AD2" s="847" t="s">
        <v>1660</v>
      </c>
    </row>
    <row customHeight="1" ht="162">
      <c r="A3" s="851" t="s">
        <v>26</v>
      </c>
      <c r="B3" s="851"/>
      <c r="C3" s="2602" t="s">
        <v>2057</v>
      </c>
      <c r="D3" s="2603"/>
      <c r="E3" s="2603"/>
      <c r="F3" s="2604"/>
      <c r="G3" s="849"/>
      <c r="H3" s="849"/>
      <c r="I3" s="849"/>
      <c r="J3" s="849"/>
      <c r="K3" s="849"/>
      <c r="L3" s="849"/>
      <c r="M3" s="849"/>
      <c r="N3" s="85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9"/>
      <c r="P3" s="849"/>
      <c r="Q3" s="849"/>
      <c r="R3" s="849"/>
      <c r="S3" s="849"/>
      <c r="T3" s="849"/>
      <c r="U3" s="849"/>
      <c r="V3" s="849"/>
      <c r="W3" s="849"/>
      <c r="X3" s="849"/>
      <c r="Y3" s="1006"/>
      <c r="Z3" s="852" t="s">
        <v>2058</v>
      </c>
      <c r="AA3" s="849" t="s">
        <v>2059</v>
      </c>
      <c r="AB3" s="852" t="s">
        <v>2060</v>
      </c>
      <c r="AC3" s="852" t="s">
        <v>2061</v>
      </c>
      <c r="AD3" s="852"/>
      <c r="AG3" s="852"/>
      <c r="AH3" s="852"/>
    </row>
    <row customHeight="1" ht="9">
      <c r="A4" s="851"/>
      <c r="B4" s="851"/>
      <c r="C4" s="849"/>
      <c r="D4" s="849"/>
      <c r="E4" s="849"/>
      <c r="F4" s="849"/>
      <c r="G4" s="849"/>
      <c r="H4" s="849"/>
      <c r="I4" s="849"/>
      <c r="J4" s="849"/>
      <c r="K4" s="849"/>
      <c r="L4" s="849"/>
      <c r="M4" s="849"/>
      <c r="N4" s="849"/>
      <c r="O4" s="849"/>
      <c r="P4" s="849"/>
      <c r="Q4" s="849"/>
      <c r="R4" s="849"/>
      <c r="S4" s="849"/>
      <c r="T4" s="849"/>
      <c r="U4" s="849"/>
      <c r="V4" s="849"/>
      <c r="W4" s="849"/>
      <c r="X4" s="849"/>
      <c r="Y4" s="1006"/>
      <c r="Z4" s="852"/>
      <c r="AA4" s="855"/>
      <c r="AB4" s="852"/>
      <c r="AC4" s="852"/>
      <c r="AD4" s="852"/>
    </row>
    <row customHeight="1" ht="9">
      <c r="A5" s="851"/>
      <c r="B5" s="851"/>
      <c r="C5" s="849"/>
      <c r="D5" s="849"/>
      <c r="E5" s="849"/>
      <c r="F5" s="849"/>
      <c r="G5" s="849"/>
      <c r="H5" s="849"/>
      <c r="I5" s="849"/>
      <c r="J5" s="849"/>
      <c r="K5" s="849"/>
      <c r="L5" s="849"/>
      <c r="M5" s="849"/>
      <c r="N5" s="849"/>
      <c r="O5" s="849"/>
      <c r="P5" s="849"/>
      <c r="Q5" s="849"/>
      <c r="R5" s="849"/>
      <c r="S5" s="849"/>
      <c r="T5" s="849"/>
      <c r="U5" s="849"/>
      <c r="V5" s="849"/>
      <c r="W5" s="849"/>
      <c r="X5" s="849"/>
      <c r="Y5" s="1006"/>
      <c r="Z5" s="852"/>
      <c r="AA5" s="855"/>
      <c r="AB5" s="852"/>
      <c r="AC5" s="852"/>
      <c r="AD5" s="852"/>
    </row>
    <row customHeight="1" ht="9">
      <c r="A6" s="851"/>
      <c r="B6" s="851"/>
      <c r="C6" s="849"/>
      <c r="D6" s="849"/>
      <c r="E6" s="849"/>
      <c r="F6" s="849"/>
      <c r="G6" s="849"/>
      <c r="H6" s="849"/>
      <c r="I6" s="849"/>
      <c r="J6" s="849"/>
      <c r="K6" s="849"/>
      <c r="L6" s="849"/>
      <c r="M6" s="849"/>
      <c r="N6" s="849"/>
      <c r="O6" s="849"/>
      <c r="P6" s="849"/>
      <c r="Q6" s="849"/>
      <c r="R6" s="849"/>
      <c r="S6" s="849"/>
      <c r="T6" s="849"/>
      <c r="U6" s="849"/>
      <c r="V6" s="849"/>
      <c r="W6" s="849"/>
      <c r="X6" s="849"/>
      <c r="Y6" s="1006"/>
      <c r="Z6" s="852"/>
      <c r="AA6" s="855"/>
      <c r="AB6" s="852"/>
      <c r="AC6" s="852"/>
      <c r="AD6" s="852"/>
    </row>
    <row customHeight="1" ht="9">
      <c r="A7" s="851"/>
      <c r="B7" s="851"/>
      <c r="C7" s="849"/>
      <c r="D7" s="849"/>
      <c r="E7" s="849"/>
      <c r="F7" s="849"/>
      <c r="G7" s="849"/>
      <c r="H7" s="849"/>
      <c r="I7" s="849"/>
      <c r="J7" s="849"/>
      <c r="K7" s="849"/>
      <c r="L7" s="849"/>
      <c r="M7" s="849"/>
      <c r="N7" s="849"/>
      <c r="O7" s="849"/>
      <c r="P7" s="849"/>
      <c r="Q7" s="849"/>
      <c r="R7" s="849"/>
      <c r="S7" s="849"/>
      <c r="T7" s="849"/>
      <c r="U7" s="849"/>
      <c r="V7" s="849"/>
      <c r="W7" s="849"/>
      <c r="X7" s="849"/>
      <c r="Y7" s="1006"/>
      <c r="Z7" s="852"/>
      <c r="AA7" s="855"/>
      <c r="AB7" s="852"/>
      <c r="AC7" s="852"/>
      <c r="AD7" s="852"/>
    </row>
    <row customHeight="1" ht="9">
      <c r="A8" s="851"/>
      <c r="B8" s="851"/>
      <c r="C8" s="849"/>
      <c r="D8" s="849"/>
      <c r="E8" s="849"/>
      <c r="F8" s="849"/>
      <c r="G8" s="849"/>
      <c r="H8" s="849"/>
      <c r="I8" s="849"/>
      <c r="J8" s="849"/>
      <c r="K8" s="849"/>
      <c r="L8" s="849"/>
      <c r="M8" s="849"/>
      <c r="N8" s="849"/>
      <c r="O8" s="849"/>
      <c r="P8" s="849"/>
      <c r="Q8" s="849"/>
      <c r="R8" s="849"/>
      <c r="S8" s="849"/>
      <c r="T8" s="849"/>
      <c r="U8" s="849"/>
      <c r="V8" s="849"/>
      <c r="W8" s="849"/>
      <c r="X8" s="849"/>
      <c r="Y8" s="1006"/>
      <c r="Z8" s="852"/>
      <c r="AA8" s="855"/>
      <c r="AB8" s="852"/>
      <c r="AC8" s="852"/>
      <c r="AD8" s="852"/>
    </row>
    <row customHeight="1" ht="9">
      <c r="A9" s="851"/>
      <c r="B9" s="851"/>
      <c r="C9" s="849"/>
      <c r="D9" s="849"/>
      <c r="E9" s="849"/>
      <c r="F9" s="849"/>
      <c r="G9" s="849"/>
      <c r="H9" s="849"/>
      <c r="I9" s="849"/>
      <c r="J9" s="849"/>
      <c r="K9" s="849"/>
      <c r="L9" s="849"/>
      <c r="M9" s="849"/>
      <c r="N9" s="849"/>
      <c r="O9" s="849"/>
      <c r="P9" s="849"/>
      <c r="Q9" s="849"/>
      <c r="R9" s="849"/>
      <c r="S9" s="849"/>
      <c r="T9" s="849"/>
      <c r="U9" s="849"/>
      <c r="V9" s="849"/>
      <c r="W9" s="849"/>
      <c r="X9" s="849"/>
      <c r="Y9" s="1006"/>
      <c r="Z9" s="852"/>
      <c r="AA9" s="855"/>
      <c r="AB9" s="852"/>
      <c r="AC9" s="852"/>
      <c r="AD9" s="852"/>
    </row>
    <row customHeight="1" ht="9">
      <c r="A10" s="905"/>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row>
    <row customHeight="1" ht="45">
      <c r="A11" s="2599" t="s">
        <v>33</v>
      </c>
      <c r="B11" s="905">
        <v>1</v>
      </c>
      <c r="C11" s="2605" t="s">
        <v>1598</v>
      </c>
      <c r="D11" s="2605" t="s">
        <v>1594</v>
      </c>
      <c r="E11" s="2605" t="s">
        <v>1693</v>
      </c>
      <c r="F11" s="2605" t="s">
        <v>2062</v>
      </c>
      <c r="G11" s="2605"/>
      <c r="H11" s="904" t="s">
        <v>2063</v>
      </c>
      <c r="I11" s="904"/>
      <c r="J11" s="904"/>
      <c r="K11" s="904"/>
      <c r="L11" s="904"/>
      <c r="M11" s="850" t="str">
        <f>IF(TEMPLATE_SPHERE="HEAT",T11,U11)</f>
        <v>Количество поданных заявлений </v>
      </c>
      <c r="N11" s="850"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9"/>
      <c r="P11" s="849"/>
      <c r="Q11" s="849"/>
      <c r="R11" s="849"/>
      <c r="S11" s="849"/>
      <c r="T11" s="849" t="s">
        <v>2064</v>
      </c>
      <c r="U11" s="849" t="s">
        <v>2065</v>
      </c>
      <c r="V11" s="849"/>
      <c r="W11" s="849"/>
      <c r="X11" s="849"/>
      <c r="Y11" s="1006"/>
      <c r="Z11" s="852" t="s">
        <v>2066</v>
      </c>
      <c r="AA11" s="8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2"/>
      <c r="AC11" s="852"/>
      <c r="AD11" s="852"/>
    </row>
    <row customHeight="1" ht="45">
      <c r="A12" s="2599"/>
      <c r="B12" s="905">
        <v>2</v>
      </c>
      <c r="C12" s="2606"/>
      <c r="D12" s="2606"/>
      <c r="E12" s="2606"/>
      <c r="F12" s="2606"/>
      <c r="G12" s="2606"/>
      <c r="H12" s="904" t="s">
        <v>2067</v>
      </c>
      <c r="I12" s="904"/>
      <c r="J12" s="904"/>
      <c r="K12" s="904"/>
      <c r="L12" s="904"/>
      <c r="M12" s="850" t="str">
        <f>IF(TEMPLATE_SPHERE="HEAT",T12,U12)</f>
        <v>Количество исполненных заявлений </v>
      </c>
      <c r="N12" s="850"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9"/>
      <c r="P12" s="849"/>
      <c r="Q12" s="849"/>
      <c r="R12" s="849"/>
      <c r="S12" s="849"/>
      <c r="T12" s="849" t="s">
        <v>2068</v>
      </c>
      <c r="U12" s="849" t="s">
        <v>2069</v>
      </c>
      <c r="V12" s="849"/>
      <c r="W12" s="849"/>
      <c r="X12" s="849"/>
      <c r="Y12" s="1006"/>
      <c r="Z12" s="852" t="s">
        <v>2070</v>
      </c>
      <c r="AA12" s="8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2"/>
      <c r="AC12" s="852"/>
      <c r="AD12" s="852"/>
    </row>
    <row customHeight="1" ht="72">
      <c r="A13" s="2599"/>
      <c r="B13" s="905">
        <v>3</v>
      </c>
      <c r="C13" s="2606"/>
      <c r="D13" s="2606"/>
      <c r="E13" s="2606"/>
      <c r="F13" s="2606"/>
      <c r="G13" s="2606"/>
      <c r="H13" s="2598" t="s">
        <v>2071</v>
      </c>
      <c r="I13" s="904"/>
      <c r="J13" s="904"/>
      <c r="K13" s="904"/>
      <c r="L13" s="904"/>
      <c r="M13" s="85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50"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9"/>
      <c r="P13" s="850"/>
      <c r="Q13" s="850"/>
      <c r="R13" s="850"/>
      <c r="S13" s="849"/>
      <c r="T13" s="849" t="s">
        <v>2072</v>
      </c>
      <c r="U13" s="850" t="s">
        <v>2073</v>
      </c>
      <c r="V13" s="850"/>
      <c r="W13" s="850"/>
      <c r="X13" s="849"/>
      <c r="Y13" s="1006"/>
      <c r="Z13" s="852" t="s">
        <v>2074</v>
      </c>
      <c r="AA13" s="8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2"/>
      <c r="AC13" s="852"/>
      <c r="AD13" s="852"/>
    </row>
    <row customHeight="1" ht="45">
      <c r="A14" s="2599"/>
      <c r="B14" s="905">
        <v>4</v>
      </c>
      <c r="C14" s="2606"/>
      <c r="D14" s="2606"/>
      <c r="E14" s="2606"/>
      <c r="F14" s="2606"/>
      <c r="G14" s="2606"/>
      <c r="H14" s="2598"/>
      <c r="I14" s="907"/>
      <c r="J14" s="907"/>
      <c r="K14" s="907"/>
      <c r="L14" s="907"/>
      <c r="M14" s="85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9"/>
      <c r="P14" s="850"/>
      <c r="Q14" s="850"/>
      <c r="R14" s="850"/>
      <c r="S14" s="849"/>
      <c r="T14" s="849" t="s">
        <v>2075</v>
      </c>
      <c r="U14" s="8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50"/>
      <c r="W14" s="850"/>
      <c r="X14" s="849"/>
      <c r="Y14" s="1006"/>
      <c r="Z14" s="852" t="s">
        <v>2076</v>
      </c>
      <c r="AA14" s="855" t="s">
        <v>2076</v>
      </c>
      <c r="AB14" s="852"/>
      <c r="AC14" s="852"/>
      <c r="AD14" s="852"/>
    </row>
    <row customHeight="1" ht="108">
      <c r="A15" s="2599"/>
      <c r="B15" s="905">
        <v>5</v>
      </c>
      <c r="C15" s="2606"/>
      <c r="D15" s="2606"/>
      <c r="E15" s="2606"/>
      <c r="F15" s="2606"/>
      <c r="G15" s="2606"/>
      <c r="H15" s="2600" t="s">
        <v>2077</v>
      </c>
      <c r="I15" s="906"/>
      <c r="J15" s="906"/>
      <c r="K15" s="906"/>
      <c r="L15" s="906"/>
      <c r="M15" s="85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4"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9"/>
      <c r="P15" s="850"/>
      <c r="Q15" s="850"/>
      <c r="R15" s="850"/>
      <c r="S15" s="849"/>
      <c r="T15" s="849" t="s">
        <v>2078</v>
      </c>
      <c r="U15" s="8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50"/>
      <c r="W15" s="850"/>
      <c r="X15" s="849"/>
      <c r="Y15" s="1006"/>
      <c r="Z15" s="852" t="s">
        <v>2079</v>
      </c>
      <c r="AA15" s="8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2"/>
      <c r="AC15" s="852"/>
      <c r="AD15" s="852"/>
    </row>
    <row customHeight="1" ht="108">
      <c r="A16" s="905"/>
      <c r="B16" s="905">
        <v>6</v>
      </c>
      <c r="C16" s="2607"/>
      <c r="D16" s="2607"/>
      <c r="E16" s="2607"/>
      <c r="F16" s="2607"/>
      <c r="G16" s="2607"/>
      <c r="H16" s="2601"/>
      <c r="I16" s="968"/>
      <c r="J16" s="968"/>
      <c r="K16" s="968"/>
      <c r="L16" s="968"/>
      <c r="M16" s="898"/>
      <c r="N16" s="854"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9"/>
      <c r="P16" s="850"/>
      <c r="Q16" s="850"/>
      <c r="R16" s="850"/>
      <c r="S16" s="849"/>
      <c r="T16" s="849"/>
      <c r="U16" s="850"/>
      <c r="V16" s="850"/>
      <c r="W16" s="850"/>
      <c r="X16" s="849"/>
      <c r="Y16" s="1006"/>
      <c r="Z16" s="852" t="s">
        <v>2079</v>
      </c>
      <c r="AA16" s="8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2"/>
      <c r="AC16" s="852"/>
      <c r="AD16" s="852"/>
    </row>
    <row customHeight="1" ht="9">
      <c r="A17" s="905"/>
      <c r="B17" s="905"/>
      <c r="C17" s="905">
        <v>22</v>
      </c>
      <c r="D17" s="905">
        <v>21</v>
      </c>
      <c r="E17" s="905">
        <v>42</v>
      </c>
      <c r="F17" s="905">
        <v>63</v>
      </c>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row>
    <row customHeight="1" ht="27">
      <c r="A18" s="851" t="s">
        <v>1696</v>
      </c>
      <c r="B18" s="905">
        <v>1</v>
      </c>
      <c r="C18" s="849" t="s">
        <v>2063</v>
      </c>
      <c r="D18" s="973" t="s">
        <v>2063</v>
      </c>
      <c r="E18" s="849" t="s">
        <v>2063</v>
      </c>
      <c r="F18" s="849" t="s">
        <v>2063</v>
      </c>
      <c r="G18" s="849"/>
      <c r="H18" s="1008"/>
      <c r="I18" s="1011">
        <f>INDEX(TEMPLATE_NUMBER_POINT_FHD,B18,MATCH(TEMPLATE_SPHERE,TEMPLATE_SPHERE_LIST_FOR_NOTE,0))</f>
        <v>1</v>
      </c>
      <c r="J18" s="1011" t="str">
        <f>INDEX(TEMPLATE_DATA_POINT_FHD,B18,MATCH(TEMPLATE_SPHERE,TEMPLATE_SPHERE_LIST_FOR_NOTE,0))</f>
        <v>Выручка от регулируемых видов деятельности в сфере холодного водоснабжения</v>
      </c>
      <c r="K18" s="1011" t="str">
        <f>INDEX(TEMPLATE_NOTE_POINT_FHD,B18,MATCH(TEMPLATE_SPHERE,TEMPLATE_SPHERE_LIST_FOR_NOTE,0))</f>
        <v>Указывается выручка с распределением по видам деятельности.</v>
      </c>
      <c r="L18" s="850">
        <f>IF(I18=0,"",I18)</f>
        <v>1</v>
      </c>
      <c r="M18" s="850" t="str">
        <f>IF(J18=0,"",J18)</f>
        <v>Выручка от регулируемых видов деятельности в сфере холодного водоснабжения</v>
      </c>
      <c r="N18" s="850" t="str">
        <f>IF(K18=0,"",K18)</f>
        <v>Указывается выручка с распределением по видам деятельности.</v>
      </c>
      <c r="O18" s="963">
        <v>1</v>
      </c>
      <c r="P18" s="963">
        <v>1</v>
      </c>
      <c r="Q18" s="963">
        <v>1</v>
      </c>
      <c r="R18" s="963">
        <v>1</v>
      </c>
      <c r="S18" s="963"/>
      <c r="T18" s="970" t="s">
        <v>2080</v>
      </c>
      <c r="U18" s="852" t="s">
        <v>2081</v>
      </c>
      <c r="V18" s="852" t="s">
        <v>2082</v>
      </c>
      <c r="W18" s="852" t="s">
        <v>2083</v>
      </c>
      <c r="X18" s="849"/>
      <c r="Y18" s="1006"/>
      <c r="Z18" s="852" t="s">
        <v>2084</v>
      </c>
      <c r="AA18" s="855" t="s">
        <v>2085</v>
      </c>
      <c r="AB18" s="855" t="s">
        <v>2085</v>
      </c>
      <c r="AC18" s="855" t="s">
        <v>2085</v>
      </c>
      <c r="AD18" s="852"/>
    </row>
    <row customHeight="1" ht="36">
      <c r="A19" s="851"/>
      <c r="B19" s="905">
        <v>2</v>
      </c>
      <c r="C19" s="849" t="s">
        <v>2067</v>
      </c>
      <c r="D19" s="973" t="s">
        <v>2067</v>
      </c>
      <c r="E19" s="849" t="s">
        <v>2067</v>
      </c>
      <c r="F19" s="849" t="s">
        <v>2067</v>
      </c>
      <c r="G19" s="849"/>
      <c r="H19" s="1008"/>
      <c r="I19" s="1011">
        <f>INDEX(TEMPLATE_NUMBER_POINT_FHD,B19,MATCH(TEMPLATE_SPHERE,TEMPLATE_SPHERE_LIST_FOR_NOTE,0))</f>
        <v>2</v>
      </c>
      <c r="J19" s="1011"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11" t="str">
        <f>INDEX(TEMPLATE_NOTE_POINT_FHD,B19,MATCH(TEMPLATE_SPHERE,TEMPLATE_SPHERE_LIST_FOR_NOTE,0))</f>
        <v>Указывается суммарная себестоимость производимых товаров.</v>
      </c>
      <c r="L19" s="850">
        <f>IF(I19=0,"",I19)</f>
        <v>2</v>
      </c>
      <c r="M19" s="850" t="str">
        <f>IF(J19=0,"",J19)</f>
        <v>Себестоимость производимых товаров (оказываемых услуг) по регулируемым видам деятельности в сфере холодного водоснабжения, включая:</v>
      </c>
      <c r="N19" s="850" t="str">
        <f>IF(K19=0,"",K19)</f>
        <v>Указывается суммарная себестоимость производимых товаров.</v>
      </c>
      <c r="O19" s="963">
        <v>2</v>
      </c>
      <c r="P19" s="963">
        <v>2</v>
      </c>
      <c r="Q19" s="963">
        <v>2</v>
      </c>
      <c r="R19" s="963">
        <v>2</v>
      </c>
      <c r="S19" s="963"/>
      <c r="T19" s="970" t="s">
        <v>2086</v>
      </c>
      <c r="U19" s="852" t="s">
        <v>2087</v>
      </c>
      <c r="V19" s="852" t="s">
        <v>2088</v>
      </c>
      <c r="W19" s="852" t="s">
        <v>2089</v>
      </c>
      <c r="X19" s="849"/>
      <c r="Y19" s="1006"/>
      <c r="Z19" s="852" t="s">
        <v>2090</v>
      </c>
      <c r="AA19" s="855" t="s">
        <v>2090</v>
      </c>
      <c r="AB19" s="855" t="s">
        <v>2090</v>
      </c>
      <c r="AC19" s="855" t="s">
        <v>2090</v>
      </c>
      <c r="AD19" s="852"/>
    </row>
    <row customHeight="1" ht="27">
      <c r="A20" s="851"/>
      <c r="B20" s="905">
        <v>3</v>
      </c>
      <c r="C20" s="849">
        <v>1</v>
      </c>
      <c r="D20" s="973"/>
      <c r="E20" s="849"/>
      <c r="F20" s="849"/>
      <c r="G20" s="849"/>
      <c r="H20" s="1008"/>
      <c r="I20" s="1011" t="str">
        <f>INDEX(TEMPLATE_NUMBER_POINT_FHD,B20,MATCH(TEMPLATE_SPHERE,TEMPLATE_SPHERE_LIST_FOR_NOTE,0))</f>
        <v>2.1</v>
      </c>
      <c r="J20" s="1011"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11">
        <f>INDEX(TEMPLATE_NOTE_POINT_FHD,B20,MATCH(TEMPLATE_SPHERE,TEMPLATE_SPHERE_LIST_FOR_NOTE,0))</f>
        <v>0</v>
      </c>
      <c r="L20" s="850" t="str">
        <f>IF(I20=0,"",I20)</f>
        <v>2.1</v>
      </c>
      <c r="M20" s="850" t="str">
        <f>IF(J20=0,"",J20)</f>
        <v>Расходы на оплату холодной воды, приобретаемой у других организаций для последующей подачи потребителям</v>
      </c>
      <c r="N20" s="850" t="str">
        <f>IF(K20=0,"",K20)</f>
        <v/>
      </c>
      <c r="O20" s="963" t="s">
        <v>745</v>
      </c>
      <c r="P20" s="963" t="s">
        <v>745</v>
      </c>
      <c r="Q20" s="963" t="s">
        <v>745</v>
      </c>
      <c r="R20" s="963" t="s">
        <v>745</v>
      </c>
      <c r="S20" s="963"/>
      <c r="T20" s="970" t="s">
        <v>2091</v>
      </c>
      <c r="U20" s="852" t="s">
        <v>2092</v>
      </c>
      <c r="V20" s="852" t="s">
        <v>2093</v>
      </c>
      <c r="W20" s="852" t="s">
        <v>2094</v>
      </c>
      <c r="X20" s="849"/>
      <c r="Y20" s="1006"/>
      <c r="Z20" s="852"/>
      <c r="AA20" s="855"/>
      <c r="AB20" s="852"/>
      <c r="AC20" s="852"/>
      <c r="AD20" s="852"/>
    </row>
    <row customHeight="1" ht="36">
      <c r="A21" s="851"/>
      <c r="B21" s="905">
        <v>4</v>
      </c>
      <c r="C21" s="849">
        <v>2</v>
      </c>
      <c r="D21" s="973"/>
      <c r="E21" s="849"/>
      <c r="F21" s="849"/>
      <c r="G21" s="849"/>
      <c r="H21" s="1008"/>
      <c r="I21" s="1011">
        <f>INDEX(TEMPLATE_NUMBER_POINT_FHD,B21,MATCH(TEMPLATE_SPHERE,TEMPLATE_SPHERE_LIST_FOR_NOTE,0))</f>
        <v>0</v>
      </c>
      <c r="J21" s="1011">
        <f>INDEX(TEMPLATE_DATA_POINT_FHD,B21,MATCH(TEMPLATE_SPHERE,TEMPLATE_SPHERE_LIST_FOR_NOTE,0))</f>
        <v>0</v>
      </c>
      <c r="K21" s="1011">
        <f>INDEX(TEMPLATE_NOTE_POINT_FHD,B21,MATCH(TEMPLATE_SPHERE,TEMPLATE_SPHERE_LIST_FOR_NOTE,0))</f>
        <v>0</v>
      </c>
      <c r="L21" s="850" t="str">
        <f>IF(I21=0,"",I21)</f>
        <v/>
      </c>
      <c r="M21" s="850" t="str">
        <f>IF(J21=0,"",J21)</f>
        <v/>
      </c>
      <c r="N21" s="850" t="str">
        <f>IF(K21=0,"",K21)</f>
        <v/>
      </c>
      <c r="O21" s="963" t="s">
        <v>323</v>
      </c>
      <c r="P21" s="963"/>
      <c r="Q21" s="963"/>
      <c r="R21" s="963"/>
      <c r="S21" s="963"/>
      <c r="T21" s="970" t="s">
        <v>2095</v>
      </c>
      <c r="U21" s="852"/>
      <c r="V21" s="852"/>
      <c r="W21" s="852"/>
      <c r="X21" s="849"/>
      <c r="Y21" s="1006"/>
      <c r="Z21" s="852" t="s">
        <v>2096</v>
      </c>
      <c r="AA21" s="855"/>
      <c r="AB21" s="852"/>
      <c r="AC21" s="852"/>
      <c r="AD21" s="852"/>
    </row>
    <row customHeight="1" ht="36">
      <c r="A22" s="851"/>
      <c r="B22" s="905">
        <v>5</v>
      </c>
      <c r="C22" s="849">
        <v>3</v>
      </c>
      <c r="D22" s="973"/>
      <c r="E22" s="849"/>
      <c r="F22" s="849"/>
      <c r="G22" s="897"/>
      <c r="H22" s="964"/>
      <c r="I22" s="1011">
        <f>INDEX(TEMPLATE_NUMBER_POINT_FHD,B22,MATCH(TEMPLATE_SPHERE,TEMPLATE_SPHERE_LIST_FOR_NOTE,0))</f>
        <v>0</v>
      </c>
      <c r="J22" s="1011">
        <f>INDEX(TEMPLATE_DATA_POINT_FHD,B22,MATCH(TEMPLATE_SPHERE,TEMPLATE_SPHERE_LIST_FOR_NOTE,0))</f>
        <v>0</v>
      </c>
      <c r="K22" s="1011">
        <f>INDEX(TEMPLATE_NOTE_POINT_FHD,B22,MATCH(TEMPLATE_SPHERE,TEMPLATE_SPHERE_LIST_FOR_NOTE,0))</f>
        <v>0</v>
      </c>
      <c r="L22" s="850" t="str">
        <f>IF(I22=0,"",I22)</f>
        <v/>
      </c>
      <c r="M22" s="850" t="str">
        <f>IF(J22=0,"",J22)</f>
        <v/>
      </c>
      <c r="N22" s="850" t="str">
        <f>IF(K22=0,"",K22)</f>
        <v/>
      </c>
      <c r="O22" s="963"/>
      <c r="P22" s="963"/>
      <c r="Q22" s="963" t="s">
        <v>323</v>
      </c>
      <c r="R22" s="963"/>
      <c r="S22" s="963"/>
      <c r="T22" s="970"/>
      <c r="U22" s="852"/>
      <c r="V22" s="852" t="s">
        <v>2097</v>
      </c>
      <c r="W22" s="852"/>
      <c r="X22" s="849"/>
      <c r="Y22" s="1006"/>
      <c r="Z22" s="852"/>
      <c r="AA22" s="855"/>
      <c r="AB22" s="852"/>
      <c r="AC22" s="852"/>
      <c r="AD22" s="852"/>
    </row>
    <row customHeight="1" ht="27">
      <c r="A23" s="851"/>
      <c r="B23" s="905">
        <v>6</v>
      </c>
      <c r="C23" s="849">
        <v>4</v>
      </c>
      <c r="D23" s="973"/>
      <c r="E23" s="849"/>
      <c r="F23" s="849"/>
      <c r="G23" s="897"/>
      <c r="H23" s="964"/>
      <c r="I23" s="1011">
        <f>INDEX(TEMPLATE_NUMBER_POINT_FHD,B23,MATCH(TEMPLATE_SPHERE,TEMPLATE_SPHERE_LIST_FOR_NOTE,0))</f>
        <v>0</v>
      </c>
      <c r="J23" s="1011">
        <f>INDEX(TEMPLATE_DATA_POINT_FHD,B23,MATCH(TEMPLATE_SPHERE,TEMPLATE_SPHERE_LIST_FOR_NOTE,0))</f>
        <v>0</v>
      </c>
      <c r="K23" s="1011">
        <f>INDEX(TEMPLATE_NOTE_POINT_FHD,B23,MATCH(TEMPLATE_SPHERE,TEMPLATE_SPHERE_LIST_FOR_NOTE,0))</f>
        <v>0</v>
      </c>
      <c r="L23" s="850" t="str">
        <f>IF(I23=0,"",I23)</f>
        <v/>
      </c>
      <c r="M23" s="850" t="str">
        <f>IF(J23=0,"",J23)</f>
        <v/>
      </c>
      <c r="N23" s="850" t="str">
        <f>IF(K23=0,"",K23)</f>
        <v/>
      </c>
      <c r="O23" s="963"/>
      <c r="P23" s="963"/>
      <c r="Q23" s="963" t="s">
        <v>326</v>
      </c>
      <c r="R23" s="963"/>
      <c r="S23" s="963"/>
      <c r="T23" s="970"/>
      <c r="U23" s="852"/>
      <c r="V23" s="852" t="s">
        <v>2098</v>
      </c>
      <c r="W23" s="852"/>
      <c r="X23" s="849"/>
      <c r="Y23" s="1006"/>
      <c r="Z23" s="852"/>
      <c r="AA23" s="855"/>
      <c r="AB23" s="852"/>
      <c r="AC23" s="852"/>
      <c r="AD23" s="852"/>
    </row>
    <row customHeight="1" ht="36">
      <c r="A24" s="851"/>
      <c r="B24" s="905">
        <v>7</v>
      </c>
      <c r="C24" s="849">
        <v>5</v>
      </c>
      <c r="D24" s="973"/>
      <c r="E24" s="849"/>
      <c r="F24" s="849"/>
      <c r="G24" s="897"/>
      <c r="H24" s="964"/>
      <c r="I24" s="1011">
        <f>INDEX(TEMPLATE_NUMBER_POINT_FHD,B24,MATCH(TEMPLATE_SPHERE,TEMPLATE_SPHERE_LIST_FOR_NOTE,0))</f>
        <v>0</v>
      </c>
      <c r="J24" s="1011">
        <f>INDEX(TEMPLATE_DATA_POINT_FHD,B24,MATCH(TEMPLATE_SPHERE,TEMPLATE_SPHERE_LIST_FOR_NOTE,0))</f>
        <v>0</v>
      </c>
      <c r="K24" s="1011">
        <f>INDEX(TEMPLATE_NOTE_POINT_FHD,B24,MATCH(TEMPLATE_SPHERE,TEMPLATE_SPHERE_LIST_FOR_NOTE,0))</f>
        <v>0</v>
      </c>
      <c r="L24" s="850" t="str">
        <f>IF(I24=0,"",I24)</f>
        <v/>
      </c>
      <c r="M24" s="850" t="str">
        <f>IF(J24=0,"",J24)</f>
        <v/>
      </c>
      <c r="N24" s="850" t="str">
        <f>IF(K24=0,"",K24)</f>
        <v/>
      </c>
      <c r="O24" s="963"/>
      <c r="P24" s="963"/>
      <c r="Q24" s="963" t="s">
        <v>765</v>
      </c>
      <c r="R24" s="963"/>
      <c r="S24" s="963"/>
      <c r="T24" s="970"/>
      <c r="U24" s="852"/>
      <c r="V24" s="852" t="s">
        <v>2099</v>
      </c>
      <c r="W24" s="852"/>
      <c r="X24" s="849"/>
      <c r="Y24" s="1006"/>
      <c r="Z24" s="852"/>
      <c r="AA24" s="855"/>
      <c r="AB24" s="852"/>
      <c r="AC24" s="852"/>
      <c r="AD24" s="852"/>
    </row>
    <row customHeight="1" ht="36">
      <c r="A25" s="851"/>
      <c r="B25" s="905">
        <v>8</v>
      </c>
      <c r="C25" s="849">
        <v>6</v>
      </c>
      <c r="D25" s="973"/>
      <c r="E25" s="849"/>
      <c r="F25" s="849"/>
      <c r="G25" s="897"/>
      <c r="H25" s="964"/>
      <c r="I25" s="1011" t="str">
        <f>INDEX(TEMPLATE_NUMBER_POINT_FHD,B25,MATCH(TEMPLATE_SPHERE,TEMPLATE_SPHERE_LIST_FOR_NOTE,0))</f>
        <v>2.2</v>
      </c>
      <c r="J25" s="101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1">
        <f>INDEX(TEMPLATE_NOTE_POINT_FHD,B25,MATCH(TEMPLATE_SPHERE,TEMPLATE_SPHERE_LIST_FOR_NOTE,0))</f>
        <v>0</v>
      </c>
      <c r="L25" s="850" t="str">
        <f>IF(I25=0,"",I25)</f>
        <v>2.2</v>
      </c>
      <c r="M25" s="850" t="str">
        <f>IF(J25=0,"",J25)</f>
        <v>Расходы на приобретаемую электрическую энергию (мощность), используемую в технологическом процессе</v>
      </c>
      <c r="N25" s="850" t="str">
        <f>IF(K25=0,"",K25)</f>
        <v/>
      </c>
      <c r="O25" s="963" t="s">
        <v>326</v>
      </c>
      <c r="P25" s="963" t="s">
        <v>323</v>
      </c>
      <c r="Q25" s="963" t="s">
        <v>772</v>
      </c>
      <c r="R25" s="963" t="s">
        <v>323</v>
      </c>
      <c r="S25" s="963"/>
      <c r="T25" s="970" t="s">
        <v>2100</v>
      </c>
      <c r="U25" s="852" t="s">
        <v>2100</v>
      </c>
      <c r="V25" s="852" t="s">
        <v>2100</v>
      </c>
      <c r="W25" s="852" t="s">
        <v>2100</v>
      </c>
      <c r="X25" s="849"/>
      <c r="Y25" s="1006"/>
      <c r="Z25" s="852"/>
      <c r="AA25" s="855"/>
      <c r="AB25" s="852"/>
      <c r="AC25" s="852"/>
      <c r="AD25" s="852"/>
    </row>
    <row customHeight="1" ht="18">
      <c r="A26" s="851"/>
      <c r="B26" s="905">
        <v>9</v>
      </c>
      <c r="C26" s="849" t="s">
        <v>689</v>
      </c>
      <c r="D26" s="973"/>
      <c r="E26" s="849"/>
      <c r="F26" s="849"/>
      <c r="G26" s="897"/>
      <c r="H26" s="964"/>
      <c r="I26" s="1011" t="str">
        <f>INDEX(TEMPLATE_NUMBER_POINT_FHD,B26,MATCH(TEMPLATE_SPHERE,TEMPLATE_SPHERE_LIST_FOR_NOTE,0))</f>
        <v>2.2.1</v>
      </c>
      <c r="J26" s="1011" t="str">
        <f>INDEX(TEMPLATE_DATA_POINT_FHD,B26,MATCH(TEMPLATE_SPHERE,TEMPLATE_SPHERE_LIST_FOR_NOTE,0))</f>
        <v>Средневзвешенная стоимость 1 кВт.ч (с учетом мощности)</v>
      </c>
      <c r="K26" s="1011">
        <f>INDEX(TEMPLATE_NOTE_POINT_FHD,B26,MATCH(TEMPLATE_SPHERE,TEMPLATE_SPHERE_LIST_FOR_NOTE,0))</f>
        <v>0</v>
      </c>
      <c r="L26" s="850" t="str">
        <f>IF(I26=0,"",I26)</f>
        <v>2.2.1</v>
      </c>
      <c r="M26" s="850" t="str">
        <f>IF(J26=0,"",J26)</f>
        <v>Средневзвешенная стоимость 1 кВт.ч (с учетом мощности)</v>
      </c>
      <c r="N26" s="850" t="str">
        <f>IF(K26=0,"",K26)</f>
        <v/>
      </c>
      <c r="O26" s="963" t="s">
        <v>761</v>
      </c>
      <c r="P26" s="963" t="s">
        <v>755</v>
      </c>
      <c r="Q26" s="963" t="s">
        <v>2101</v>
      </c>
      <c r="R26" s="963" t="s">
        <v>755</v>
      </c>
      <c r="S26" s="963"/>
      <c r="T26" s="970" t="str">
        <f>"Средневзвешенная стоимость 1 кВт.ч"&amp;IF(TITLE_TYPE_ORG="Регулируемая организация"," (с учетом мощности)","")</f>
        <v>Средневзвешенная стоимость 1 кВт.ч</v>
      </c>
      <c r="U26" s="970" t="s">
        <v>2102</v>
      </c>
      <c r="V26" s="970" t="s">
        <v>2102</v>
      </c>
      <c r="W26" s="970" t="s">
        <v>2102</v>
      </c>
      <c r="X26" s="849"/>
      <c r="Y26" s="1006"/>
      <c r="Z26" s="852"/>
      <c r="AA26" s="855"/>
      <c r="AB26" s="852"/>
      <c r="AC26" s="852"/>
      <c r="AD26" s="852"/>
    </row>
    <row customHeight="1" ht="18">
      <c r="A27" s="851"/>
      <c r="B27" s="905">
        <v>10</v>
      </c>
      <c r="C27" s="849" t="s">
        <v>693</v>
      </c>
      <c r="D27" s="973"/>
      <c r="E27" s="849"/>
      <c r="F27" s="849"/>
      <c r="G27" s="897"/>
      <c r="H27" s="964"/>
      <c r="I27" s="1011" t="str">
        <f>INDEX(TEMPLATE_NUMBER_POINT_FHD,B27,MATCH(TEMPLATE_SPHERE,TEMPLATE_SPHERE_LIST_FOR_NOTE,0))</f>
        <v>2.2.2</v>
      </c>
      <c r="J27" s="1011" t="str">
        <f>INDEX(TEMPLATE_DATA_POINT_FHD,B27,MATCH(TEMPLATE_SPHERE,TEMPLATE_SPHERE_LIST_FOR_NOTE,0))</f>
        <v>Объём приобретения электрической энергии</v>
      </c>
      <c r="K27" s="1011">
        <f>INDEX(TEMPLATE_NOTE_POINT_FHD,B27,MATCH(TEMPLATE_SPHERE,TEMPLATE_SPHERE_LIST_FOR_NOTE,0))</f>
        <v>0</v>
      </c>
      <c r="L27" s="850" t="str">
        <f>IF(I27=0,"",I27)</f>
        <v>2.2.2</v>
      </c>
      <c r="M27" s="850" t="str">
        <f>IF(J27=0,"",J27)</f>
        <v>Объём приобретения электрической энергии</v>
      </c>
      <c r="N27" s="850" t="str">
        <f>IF(K27=0,"",K27)</f>
        <v/>
      </c>
      <c r="O27" s="963" t="s">
        <v>763</v>
      </c>
      <c r="P27" s="963" t="s">
        <v>757</v>
      </c>
      <c r="Q27" s="963" t="s">
        <v>2103</v>
      </c>
      <c r="R27" s="963" t="s">
        <v>757</v>
      </c>
      <c r="S27" s="963"/>
      <c r="T27" s="970" t="s">
        <v>2104</v>
      </c>
      <c r="U27" s="970" t="s">
        <v>2104</v>
      </c>
      <c r="V27" s="970" t="s">
        <v>2104</v>
      </c>
      <c r="W27" s="970" t="s">
        <v>2104</v>
      </c>
      <c r="X27" s="849"/>
      <c r="Y27" s="1006"/>
      <c r="Z27" s="852"/>
      <c r="AA27" s="855"/>
      <c r="AB27" s="852"/>
      <c r="AC27" s="852"/>
      <c r="AD27" s="852"/>
    </row>
    <row customHeight="1" ht="27">
      <c r="A28" s="851"/>
      <c r="B28" s="905">
        <v>11</v>
      </c>
      <c r="C28" s="849">
        <v>7</v>
      </c>
      <c r="D28" s="973"/>
      <c r="E28" s="849"/>
      <c r="F28" s="849"/>
      <c r="G28" s="897"/>
      <c r="H28" s="964"/>
      <c r="I28" s="1011">
        <f>INDEX(TEMPLATE_NUMBER_POINT_FHD,B28,MATCH(TEMPLATE_SPHERE,TEMPLATE_SPHERE_LIST_FOR_NOTE,0))</f>
        <v>0</v>
      </c>
      <c r="J28" s="1011">
        <f>INDEX(TEMPLATE_DATA_POINT_FHD,B28,MATCH(TEMPLATE_SPHERE,TEMPLATE_SPHERE_LIST_FOR_NOTE,0))</f>
        <v>0</v>
      </c>
      <c r="K28" s="1011">
        <f>INDEX(TEMPLATE_NOTE_POINT_FHD,B28,MATCH(TEMPLATE_SPHERE,TEMPLATE_SPHERE_LIST_FOR_NOTE,0))</f>
        <v>0</v>
      </c>
      <c r="L28" s="850" t="str">
        <f>IF(I28=0,"",I28)</f>
        <v/>
      </c>
      <c r="M28" s="850" t="str">
        <f>IF(J28=0,"",J28)</f>
        <v/>
      </c>
      <c r="N28" s="850" t="str">
        <f>IF(K28=0,"",K28)</f>
        <v/>
      </c>
      <c r="O28" s="963" t="s">
        <v>765</v>
      </c>
      <c r="P28" s="963"/>
      <c r="Q28" s="963"/>
      <c r="R28" s="963"/>
      <c r="S28" s="963"/>
      <c r="T28" s="970" t="s">
        <v>2105</v>
      </c>
      <c r="U28" s="852"/>
      <c r="V28" s="852"/>
      <c r="W28" s="852"/>
      <c r="X28" s="849"/>
      <c r="Y28" s="1006"/>
      <c r="Z28" s="852"/>
      <c r="AA28" s="855"/>
      <c r="AB28" s="852"/>
      <c r="AC28" s="852"/>
      <c r="AD28" s="852"/>
    </row>
    <row customHeight="1" ht="27">
      <c r="A29" s="851"/>
      <c r="B29" s="905">
        <v>12</v>
      </c>
      <c r="C29" s="849">
        <v>8</v>
      </c>
      <c r="D29" s="973"/>
      <c r="E29" s="849"/>
      <c r="F29" s="849"/>
      <c r="G29" s="897"/>
      <c r="H29" s="964"/>
      <c r="I29" s="1011" t="str">
        <f>INDEX(TEMPLATE_NUMBER_POINT_FHD,B29,MATCH(TEMPLATE_SPHERE,TEMPLATE_SPHERE_LIST_FOR_NOTE,0))</f>
        <v>2.3</v>
      </c>
      <c r="J29" s="1011" t="str">
        <f>INDEX(TEMPLATE_DATA_POINT_FHD,B29,MATCH(TEMPLATE_SPHERE,TEMPLATE_SPHERE_LIST_FOR_NOTE,0))</f>
        <v>Расходы на химические реагенты, используемые в технологическом процессе</v>
      </c>
      <c r="K29" s="1011">
        <f>INDEX(TEMPLATE_NOTE_POINT_FHD,B29,MATCH(TEMPLATE_SPHERE,TEMPLATE_SPHERE_LIST_FOR_NOTE,0))</f>
        <v>0</v>
      </c>
      <c r="L29" s="850" t="str">
        <f>IF(I29=0,"",I29)</f>
        <v>2.3</v>
      </c>
      <c r="M29" s="850" t="str">
        <f>IF(J29=0,"",J29)</f>
        <v>Расходы на химические реагенты, используемые в технологическом процессе</v>
      </c>
      <c r="N29" s="850" t="str">
        <f>IF(K29=0,"",K29)</f>
        <v/>
      </c>
      <c r="O29" s="963" t="s">
        <v>772</v>
      </c>
      <c r="P29" s="963" t="s">
        <v>326</v>
      </c>
      <c r="Q29" s="963"/>
      <c r="R29" s="963" t="s">
        <v>326</v>
      </c>
      <c r="S29" s="963"/>
      <c r="T29" s="97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2" t="s">
        <v>2106</v>
      </c>
      <c r="V29" s="852"/>
      <c r="W29" s="852" t="s">
        <v>2106</v>
      </c>
      <c r="X29" s="849"/>
      <c r="Y29" s="1006"/>
      <c r="Z29" s="852"/>
      <c r="AA29" s="855"/>
      <c r="AB29" s="852"/>
      <c r="AC29" s="852"/>
      <c r="AD29" s="852"/>
    </row>
    <row customHeight="1" ht="54">
      <c r="A30" s="851"/>
      <c r="B30" s="905">
        <v>13</v>
      </c>
      <c r="C30" s="849">
        <v>9</v>
      </c>
      <c r="D30" s="973"/>
      <c r="E30" s="849"/>
      <c r="F30" s="849"/>
      <c r="G30" s="897"/>
      <c r="H30" s="964"/>
      <c r="I30" s="1011" t="str">
        <f>INDEX(TEMPLATE_NUMBER_POINT_FHD,B30,MATCH(TEMPLATE_SPHERE,TEMPLATE_SPHERE_LIST_FOR_NOTE,0))</f>
        <v>2.4</v>
      </c>
      <c r="J30" s="101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1"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50" t="str">
        <f>IF(I30=0,"",I30)</f>
        <v>2.4</v>
      </c>
      <c r="M30" s="8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0" t="str">
        <f>IF(K30=0,"",K30)</f>
        <v>Указывается общая сумма расходов на оплату труда и отчислений на социальные нужды основного производственного персонала.</v>
      </c>
      <c r="O30" s="963" t="s">
        <v>774</v>
      </c>
      <c r="P30" s="963" t="s">
        <v>765</v>
      </c>
      <c r="Q30" s="963" t="s">
        <v>774</v>
      </c>
      <c r="R30" s="963" t="s">
        <v>765</v>
      </c>
      <c r="S30" s="963"/>
      <c r="T30" s="970" t="s">
        <v>2107</v>
      </c>
      <c r="U30" s="852" t="s">
        <v>2107</v>
      </c>
      <c r="V30" s="852" t="s">
        <v>2107</v>
      </c>
      <c r="W30" s="852" t="s">
        <v>2107</v>
      </c>
      <c r="X30" s="849"/>
      <c r="Y30" s="1006"/>
      <c r="Z30" s="852"/>
      <c r="AA30" s="855" t="s">
        <v>2108</v>
      </c>
      <c r="AB30" s="855" t="s">
        <v>2108</v>
      </c>
      <c r="AC30" s="855" t="s">
        <v>2108</v>
      </c>
      <c r="AD30" s="852"/>
    </row>
    <row customHeight="1" ht="18">
      <c r="A31" s="851"/>
      <c r="B31" s="905">
        <v>14</v>
      </c>
      <c r="C31" s="849" t="s">
        <v>2109</v>
      </c>
      <c r="D31" s="973"/>
      <c r="E31" s="849"/>
      <c r="F31" s="849"/>
      <c r="G31" s="897"/>
      <c r="H31" s="964"/>
      <c r="I31" s="1011" t="str">
        <f>INDEX(TEMPLATE_NUMBER_POINT_FHD,B31,MATCH(TEMPLATE_SPHERE,TEMPLATE_SPHERE_LIST_FOR_NOTE,0))</f>
        <v>2.4.1</v>
      </c>
      <c r="J31" s="1011" t="str">
        <f>INDEX(TEMPLATE_DATA_POINT_FHD,B31,MATCH(TEMPLATE_SPHERE,TEMPLATE_SPHERE_LIST_FOR_NOTE,0))</f>
        <v>Расходы на оплату труда основного производственного персонала</v>
      </c>
      <c r="K31" s="1011">
        <f>INDEX(TEMPLATE_NOTE_POINT_FHD,B31,MATCH(TEMPLATE_SPHERE,TEMPLATE_SPHERE_LIST_FOR_NOTE,0))</f>
        <v>0</v>
      </c>
      <c r="L31" s="850" t="str">
        <f>IF(I31=0,"",I31)</f>
        <v>2.4.1</v>
      </c>
      <c r="M31" s="850" t="str">
        <f>IF(J31=0,"",J31)</f>
        <v>Расходы на оплату труда основного производственного персонала</v>
      </c>
      <c r="N31" s="850" t="str">
        <f>IF(K31=0,"",K31)</f>
        <v/>
      </c>
      <c r="O31" s="963" t="s">
        <v>2110</v>
      </c>
      <c r="P31" s="963" t="s">
        <v>768</v>
      </c>
      <c r="Q31" s="963" t="s">
        <v>2110</v>
      </c>
      <c r="R31" s="963" t="s">
        <v>768</v>
      </c>
      <c r="S31" s="963"/>
      <c r="T31" s="971" t="s">
        <v>2111</v>
      </c>
      <c r="U31" s="852" t="s">
        <v>2111</v>
      </c>
      <c r="V31" s="852" t="s">
        <v>2111</v>
      </c>
      <c r="W31" s="852" t="s">
        <v>2111</v>
      </c>
      <c r="X31" s="849"/>
      <c r="Y31" s="1006"/>
      <c r="Z31" s="852"/>
      <c r="AA31" s="855"/>
      <c r="AB31" s="855"/>
      <c r="AC31" s="855"/>
      <c r="AD31" s="852"/>
    </row>
    <row customHeight="1" ht="36">
      <c r="A32" s="851"/>
      <c r="B32" s="905">
        <v>15</v>
      </c>
      <c r="C32" s="849" t="s">
        <v>2112</v>
      </c>
      <c r="D32" s="973"/>
      <c r="E32" s="849"/>
      <c r="F32" s="849"/>
      <c r="G32" s="897"/>
      <c r="H32" s="964"/>
      <c r="I32" s="1011" t="str">
        <f>INDEX(TEMPLATE_NUMBER_POINT_FHD,B32,MATCH(TEMPLATE_SPHERE,TEMPLATE_SPHERE_LIST_FOR_NOTE,0))</f>
        <v>2.4.2</v>
      </c>
      <c r="J32" s="1011"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1">
        <f>INDEX(TEMPLATE_NOTE_POINT_FHD,B32,MATCH(TEMPLATE_SPHERE,TEMPLATE_SPHERE_LIST_FOR_NOTE,0))</f>
        <v>0</v>
      </c>
      <c r="L32" s="850" t="str">
        <f>IF(I32=0,"",I32)</f>
        <v>2.4.2</v>
      </c>
      <c r="M32" s="850" t="str">
        <f>IF(J32=0,"",J32)</f>
        <v>Страховые взносы на обязательное социальное страхование, выплачиваемые из фонда оплаты труда основного производственного персонала</v>
      </c>
      <c r="N32" s="850" t="str">
        <f>IF(K32=0,"",K32)</f>
        <v/>
      </c>
      <c r="O32" s="963" t="s">
        <v>2113</v>
      </c>
      <c r="P32" s="963" t="s">
        <v>770</v>
      </c>
      <c r="Q32" s="963" t="s">
        <v>2113</v>
      </c>
      <c r="R32" s="963" t="s">
        <v>770</v>
      </c>
      <c r="S32" s="963"/>
      <c r="T32" s="97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2" t="s">
        <v>2114</v>
      </c>
      <c r="V32" s="852" t="s">
        <v>2114</v>
      </c>
      <c r="W32" s="852" t="s">
        <v>2114</v>
      </c>
      <c r="X32" s="849"/>
      <c r="Y32" s="1006"/>
      <c r="Z32" s="852"/>
      <c r="AA32" s="855"/>
      <c r="AB32" s="855"/>
      <c r="AC32" s="855"/>
      <c r="AD32" s="852"/>
    </row>
    <row customHeight="1" ht="45">
      <c r="A33" s="851"/>
      <c r="B33" s="905">
        <v>16</v>
      </c>
      <c r="C33" s="849">
        <v>10</v>
      </c>
      <c r="D33" s="973"/>
      <c r="E33" s="849"/>
      <c r="F33" s="849"/>
      <c r="G33" s="897"/>
      <c r="H33" s="964"/>
      <c r="I33" s="1011" t="str">
        <f>INDEX(TEMPLATE_NUMBER_POINT_FHD,B33,MATCH(TEMPLATE_SPHERE,TEMPLATE_SPHERE_LIST_FOR_NOTE,0))</f>
        <v>2.5</v>
      </c>
      <c r="J33" s="101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1"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50" t="str">
        <f>IF(I33=0,"",I33)</f>
        <v>2.5</v>
      </c>
      <c r="M33" s="8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0" t="str">
        <f>IF(K33=0,"",K33)</f>
        <v>Указывается общая сумма расходов на оплату труда и отчислений на социальные нужды административно-управленческого персонала.</v>
      </c>
      <c r="O33" s="963" t="s">
        <v>776</v>
      </c>
      <c r="P33" s="963" t="s">
        <v>772</v>
      </c>
      <c r="Q33" s="963" t="s">
        <v>776</v>
      </c>
      <c r="R33" s="963" t="s">
        <v>772</v>
      </c>
      <c r="S33" s="963"/>
      <c r="T33" s="97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2" t="s">
        <v>2115</v>
      </c>
      <c r="V33" s="852" t="s">
        <v>2115</v>
      </c>
      <c r="W33" s="852" t="s">
        <v>2116</v>
      </c>
      <c r="X33" s="849"/>
      <c r="Y33" s="1006"/>
      <c r="Z33" s="852"/>
      <c r="AA33" s="855" t="s">
        <v>2117</v>
      </c>
      <c r="AB33" s="855" t="s">
        <v>2117</v>
      </c>
      <c r="AC33" s="855" t="s">
        <v>2117</v>
      </c>
      <c r="AD33" s="852"/>
    </row>
    <row customHeight="1" ht="27">
      <c r="A34" s="851"/>
      <c r="B34" s="905">
        <v>17</v>
      </c>
      <c r="C34" s="849" t="s">
        <v>2118</v>
      </c>
      <c r="D34" s="973"/>
      <c r="E34" s="849"/>
      <c r="F34" s="849"/>
      <c r="G34" s="897"/>
      <c r="H34" s="964"/>
      <c r="I34" s="1011" t="str">
        <f>INDEX(TEMPLATE_NUMBER_POINT_FHD,B34,MATCH(TEMPLATE_SPHERE,TEMPLATE_SPHERE_LIST_FOR_NOTE,0))</f>
        <v>2.5.1</v>
      </c>
      <c r="J34" s="1011" t="str">
        <f>INDEX(TEMPLATE_DATA_POINT_FHD,B34,MATCH(TEMPLATE_SPHERE,TEMPLATE_SPHERE_LIST_FOR_NOTE,0))</f>
        <v>Расходы на оплату труда административно-управленческого персонала</v>
      </c>
      <c r="K34" s="1011">
        <f>INDEX(TEMPLATE_NOTE_POINT_FHD,B34,MATCH(TEMPLATE_SPHERE,TEMPLATE_SPHERE_LIST_FOR_NOTE,0))</f>
        <v>0</v>
      </c>
      <c r="L34" s="850" t="str">
        <f>IF(I34=0,"",I34)</f>
        <v>2.5.1</v>
      </c>
      <c r="M34" s="850" t="str">
        <f>IF(J34=0,"",J34)</f>
        <v>Расходы на оплату труда административно-управленческого персонала</v>
      </c>
      <c r="N34" s="850" t="str">
        <f>IF(K34=0,"",K34)</f>
        <v/>
      </c>
      <c r="O34" s="963" t="s">
        <v>2119</v>
      </c>
      <c r="P34" s="963" t="s">
        <v>2101</v>
      </c>
      <c r="Q34" s="963" t="s">
        <v>2119</v>
      </c>
      <c r="R34" s="963" t="s">
        <v>2101</v>
      </c>
      <c r="S34" s="963"/>
      <c r="T34" s="972" t="s">
        <v>2120</v>
      </c>
      <c r="U34" s="852" t="s">
        <v>2120</v>
      </c>
      <c r="V34" s="852" t="s">
        <v>2120</v>
      </c>
      <c r="W34" s="852" t="s">
        <v>2121</v>
      </c>
      <c r="X34" s="849"/>
      <c r="Y34" s="1006"/>
      <c r="Z34" s="852"/>
      <c r="AA34" s="855"/>
      <c r="AB34" s="852"/>
      <c r="AC34" s="852"/>
      <c r="AD34" s="852"/>
    </row>
    <row customHeight="1" ht="45">
      <c r="A35" s="851"/>
      <c r="B35" s="905">
        <v>18</v>
      </c>
      <c r="C35" s="849" t="s">
        <v>2122</v>
      </c>
      <c r="D35" s="973"/>
      <c r="E35" s="849"/>
      <c r="F35" s="849"/>
      <c r="G35" s="897"/>
      <c r="H35" s="964"/>
      <c r="I35" s="1011" t="str">
        <f>INDEX(TEMPLATE_NUMBER_POINT_FHD,B35,MATCH(TEMPLATE_SPHERE,TEMPLATE_SPHERE_LIST_FOR_NOTE,0))</f>
        <v>2.5.2</v>
      </c>
      <c r="J35" s="1011"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1">
        <f>INDEX(TEMPLATE_NOTE_POINT_FHD,B35,MATCH(TEMPLATE_SPHERE,TEMPLATE_SPHERE_LIST_FOR_NOTE,0))</f>
        <v>0</v>
      </c>
      <c r="L35" s="850" t="str">
        <f>IF(I35=0,"",I35)</f>
        <v>2.5.2</v>
      </c>
      <c r="M35" s="8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0" t="str">
        <f>IF(K35=0,"",K35)</f>
        <v/>
      </c>
      <c r="O35" s="963" t="s">
        <v>2123</v>
      </c>
      <c r="P35" s="963" t="s">
        <v>2103</v>
      </c>
      <c r="Q35" s="963" t="s">
        <v>2123</v>
      </c>
      <c r="R35" s="963" t="s">
        <v>2103</v>
      </c>
      <c r="S35" s="963"/>
      <c r="T35" s="97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2" t="s">
        <v>2124</v>
      </c>
      <c r="V35" s="852" t="s">
        <v>2124</v>
      </c>
      <c r="W35" s="852" t="s">
        <v>2124</v>
      </c>
      <c r="X35" s="849"/>
      <c r="Y35" s="1006"/>
      <c r="Z35" s="852"/>
      <c r="AA35" s="855"/>
      <c r="AB35" s="852"/>
      <c r="AC35" s="852"/>
      <c r="AD35" s="852"/>
    </row>
    <row customHeight="1" ht="18">
      <c r="A36" s="851"/>
      <c r="B36" s="905">
        <v>19</v>
      </c>
      <c r="C36" s="849">
        <v>11</v>
      </c>
      <c r="D36" s="973"/>
      <c r="E36" s="849"/>
      <c r="F36" s="849"/>
      <c r="G36" s="897"/>
      <c r="H36" s="964"/>
      <c r="I36" s="1011" t="str">
        <f>INDEX(TEMPLATE_NUMBER_POINT_FHD,B36,MATCH(TEMPLATE_SPHERE,TEMPLATE_SPHERE_LIST_FOR_NOTE,0))</f>
        <v>2.6</v>
      </c>
      <c r="J36" s="1011" t="str">
        <f>INDEX(TEMPLATE_DATA_POINT_FHD,B36,MATCH(TEMPLATE_SPHERE,TEMPLATE_SPHERE_LIST_FOR_NOTE,0))</f>
        <v>Расходы на амортизацию основных средств и нематериальных активов</v>
      </c>
      <c r="K36" s="1011">
        <f>INDEX(TEMPLATE_NOTE_POINT_FHD,B36,MATCH(TEMPLATE_SPHERE,TEMPLATE_SPHERE_LIST_FOR_NOTE,0))</f>
        <v>0</v>
      </c>
      <c r="L36" s="850" t="str">
        <f>IF(I36=0,"",I36)</f>
        <v>2.6</v>
      </c>
      <c r="M36" s="850" t="str">
        <f>IF(J36=0,"",J36)</f>
        <v>Расходы на амортизацию основных средств и нематериальных активов</v>
      </c>
      <c r="N36" s="850" t="str">
        <f>IF(K36=0,"",K36)</f>
        <v/>
      </c>
      <c r="O36" s="963" t="s">
        <v>778</v>
      </c>
      <c r="P36" s="963" t="s">
        <v>774</v>
      </c>
      <c r="Q36" s="963" t="s">
        <v>778</v>
      </c>
      <c r="R36" s="963" t="s">
        <v>774</v>
      </c>
      <c r="S36" s="963"/>
      <c r="T36" s="970" t="s">
        <v>2125</v>
      </c>
      <c r="U36" s="852" t="s">
        <v>2125</v>
      </c>
      <c r="V36" s="852" t="s">
        <v>2125</v>
      </c>
      <c r="W36" s="852" t="s">
        <v>2125</v>
      </c>
      <c r="X36" s="849"/>
      <c r="Y36" s="1006"/>
      <c r="Z36" s="852"/>
      <c r="AA36" s="855"/>
      <c r="AB36" s="852"/>
      <c r="AC36" s="852"/>
      <c r="AD36" s="852"/>
    </row>
    <row customHeight="1" ht="18">
      <c r="A37" s="851"/>
      <c r="B37" s="905">
        <v>20</v>
      </c>
      <c r="C37" s="849" t="s">
        <v>2126</v>
      </c>
      <c r="D37" s="973"/>
      <c r="E37" s="849"/>
      <c r="F37" s="849"/>
      <c r="G37" s="897"/>
      <c r="H37" s="964"/>
      <c r="I37" s="1011" t="str">
        <f>INDEX(TEMPLATE_NUMBER_POINT_FHD,B37,MATCH(TEMPLATE_SPHERE,TEMPLATE_SPHERE_LIST_FOR_NOTE,0))</f>
        <v>2.6.1</v>
      </c>
      <c r="J37" s="1011" t="str">
        <f>INDEX(TEMPLATE_DATA_POINT_FHD,B37,MATCH(TEMPLATE_SPHERE,TEMPLATE_SPHERE_LIST_FOR_NOTE,0))</f>
        <v>Расходы на амортизацию основных средств</v>
      </c>
      <c r="K37" s="1011">
        <f>INDEX(TEMPLATE_NOTE_POINT_FHD,B37,MATCH(TEMPLATE_SPHERE,TEMPLATE_SPHERE_LIST_FOR_NOTE,0))</f>
        <v>0</v>
      </c>
      <c r="L37" s="850" t="str">
        <f>IF(I37=0,"",I37)</f>
        <v>2.6.1</v>
      </c>
      <c r="M37" s="850" t="str">
        <f>IF(J37=0,"",J37)</f>
        <v>Расходы на амортизацию основных средств</v>
      </c>
      <c r="N37" s="850" t="str">
        <f>IF(K37=0,"",K37)</f>
        <v/>
      </c>
      <c r="O37" s="963" t="s">
        <v>2127</v>
      </c>
      <c r="P37" s="963" t="s">
        <v>2110</v>
      </c>
      <c r="Q37" s="963" t="s">
        <v>2127</v>
      </c>
      <c r="R37" s="963" t="s">
        <v>2110</v>
      </c>
      <c r="S37" s="963"/>
      <c r="T37" s="970" t="s">
        <v>2128</v>
      </c>
      <c r="U37" s="852" t="s">
        <v>2128</v>
      </c>
      <c r="V37" s="852" t="s">
        <v>2128</v>
      </c>
      <c r="W37" s="852" t="s">
        <v>2128</v>
      </c>
      <c r="X37" s="849"/>
      <c r="Y37" s="1006"/>
      <c r="Z37" s="852"/>
      <c r="AA37" s="855"/>
      <c r="AB37" s="852"/>
      <c r="AC37" s="852"/>
      <c r="AD37" s="852"/>
    </row>
    <row customHeight="1" ht="18">
      <c r="A38" s="851"/>
      <c r="B38" s="905">
        <v>21</v>
      </c>
      <c r="C38" s="849" t="s">
        <v>2129</v>
      </c>
      <c r="D38" s="973"/>
      <c r="E38" s="849"/>
      <c r="F38" s="849"/>
      <c r="G38" s="897"/>
      <c r="H38" s="964"/>
      <c r="I38" s="1011" t="str">
        <f>INDEX(TEMPLATE_NUMBER_POINT_FHD,B38,MATCH(TEMPLATE_SPHERE,TEMPLATE_SPHERE_LIST_FOR_NOTE,0))</f>
        <v>2.6.2</v>
      </c>
      <c r="J38" s="1011" t="str">
        <f>INDEX(TEMPLATE_DATA_POINT_FHD,B38,MATCH(TEMPLATE_SPHERE,TEMPLATE_SPHERE_LIST_FOR_NOTE,0))</f>
        <v>Расходы на амортизацию нематериальных активов</v>
      </c>
      <c r="K38" s="1011">
        <f>INDEX(TEMPLATE_NOTE_POINT_FHD,B38,MATCH(TEMPLATE_SPHERE,TEMPLATE_SPHERE_LIST_FOR_NOTE,0))</f>
        <v>0</v>
      </c>
      <c r="L38" s="850" t="str">
        <f>IF(I38=0,"",I38)</f>
        <v>2.6.2</v>
      </c>
      <c r="M38" s="850" t="str">
        <f>IF(J38=0,"",J38)</f>
        <v>Расходы на амортизацию нематериальных активов</v>
      </c>
      <c r="N38" s="850" t="str">
        <f>IF(K38=0,"",K38)</f>
        <v/>
      </c>
      <c r="O38" s="963" t="s">
        <v>2130</v>
      </c>
      <c r="P38" s="963" t="s">
        <v>2113</v>
      </c>
      <c r="Q38" s="963" t="s">
        <v>2130</v>
      </c>
      <c r="R38" s="963" t="s">
        <v>2113</v>
      </c>
      <c r="S38" s="963"/>
      <c r="T38" s="970" t="s">
        <v>2131</v>
      </c>
      <c r="U38" s="852" t="s">
        <v>2131</v>
      </c>
      <c r="V38" s="852" t="s">
        <v>2131</v>
      </c>
      <c r="W38" s="852" t="s">
        <v>2131</v>
      </c>
      <c r="X38" s="849"/>
      <c r="Y38" s="1006"/>
      <c r="Z38" s="852"/>
      <c r="AA38" s="855"/>
      <c r="AB38" s="852"/>
      <c r="AC38" s="852"/>
      <c r="AD38" s="852"/>
    </row>
    <row customHeight="1" ht="36">
      <c r="A39" s="851"/>
      <c r="B39" s="905">
        <v>22</v>
      </c>
      <c r="C39" s="849">
        <v>12</v>
      </c>
      <c r="D39" s="973"/>
      <c r="E39" s="849"/>
      <c r="F39" s="849"/>
      <c r="G39" s="897"/>
      <c r="H39" s="964"/>
      <c r="I39" s="1011" t="str">
        <f>INDEX(TEMPLATE_NUMBER_POINT_FHD,B39,MATCH(TEMPLATE_SPHERE,TEMPLATE_SPHERE_LIST_FOR_NOTE,0))</f>
        <v>2.7</v>
      </c>
      <c r="J39" s="1011"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11">
        <f>INDEX(TEMPLATE_NOTE_POINT_FHD,B39,MATCH(TEMPLATE_SPHERE,TEMPLATE_SPHERE_LIST_FOR_NOTE,0))</f>
        <v>0</v>
      </c>
      <c r="L39" s="850" t="str">
        <f>IF(I39=0,"",I39)</f>
        <v>2.7</v>
      </c>
      <c r="M39" s="850" t="str">
        <f>IF(J39=0,"",J39)</f>
        <v>Расходы на аренду имущества, используемого для осуществления регулируемых видов деятельности в сфере холодного водоснабжения</v>
      </c>
      <c r="N39" s="850" t="str">
        <f>IF(K39=0,"",K39)</f>
        <v/>
      </c>
      <c r="O39" s="963" t="s">
        <v>782</v>
      </c>
      <c r="P39" s="963" t="s">
        <v>776</v>
      </c>
      <c r="Q39" s="963" t="s">
        <v>782</v>
      </c>
      <c r="R39" s="963" t="s">
        <v>776</v>
      </c>
      <c r="S39" s="963"/>
      <c r="T39" s="970" t="s">
        <v>2132</v>
      </c>
      <c r="U39" s="852" t="s">
        <v>2133</v>
      </c>
      <c r="V39" s="852" t="s">
        <v>2134</v>
      </c>
      <c r="W39" s="852" t="s">
        <v>2135</v>
      </c>
      <c r="X39" s="849"/>
      <c r="Y39" s="1006"/>
      <c r="Z39" s="852"/>
      <c r="AA39" s="855"/>
      <c r="AB39" s="852"/>
      <c r="AC39" s="852"/>
      <c r="AD39" s="852"/>
    </row>
    <row customHeight="1" ht="18">
      <c r="A40" s="851"/>
      <c r="B40" s="905">
        <v>23</v>
      </c>
      <c r="C40" s="849">
        <v>13</v>
      </c>
      <c r="D40" s="973"/>
      <c r="E40" s="849"/>
      <c r="F40" s="849"/>
      <c r="G40" s="849"/>
      <c r="H40" s="900"/>
      <c r="I40" s="1011" t="str">
        <f>INDEX(TEMPLATE_NUMBER_POINT_FHD,B40,MATCH(TEMPLATE_SPHERE,TEMPLATE_SPHERE_LIST_FOR_NOTE,0))</f>
        <v>2.8</v>
      </c>
      <c r="J40" s="1011" t="str">
        <f>INDEX(TEMPLATE_DATA_POINT_FHD,B40,MATCH(TEMPLATE_SPHERE,TEMPLATE_SPHERE_LIST_FOR_NOTE,0))</f>
        <v>Общепроизводственные расходы, в том числе:</v>
      </c>
      <c r="K40" s="1011" t="str">
        <f>INDEX(TEMPLATE_NOTE_POINT_FHD,B40,MATCH(TEMPLATE_SPHERE,TEMPLATE_SPHERE_LIST_FOR_NOTE,0))</f>
        <v>Указывается общая сумма общепроизводственных расходов.</v>
      </c>
      <c r="L40" s="850" t="str">
        <f>IF(I40=0,"",I40)</f>
        <v>2.8</v>
      </c>
      <c r="M40" s="850" t="str">
        <f>IF(J40=0,"",J40)</f>
        <v>Общепроизводственные расходы, в том числе:</v>
      </c>
      <c r="N40" s="850" t="str">
        <f>IF(K40=0,"",K40)</f>
        <v>Указывается общая сумма общепроизводственных расходов.</v>
      </c>
      <c r="O40" s="963" t="s">
        <v>2136</v>
      </c>
      <c r="P40" s="963" t="s">
        <v>778</v>
      </c>
      <c r="Q40" s="963" t="s">
        <v>2136</v>
      </c>
      <c r="R40" s="963" t="s">
        <v>778</v>
      </c>
      <c r="S40" s="963"/>
      <c r="T40" s="849" t="s">
        <v>2137</v>
      </c>
      <c r="U40" s="849" t="s">
        <v>2137</v>
      </c>
      <c r="V40" s="849" t="s">
        <v>2137</v>
      </c>
      <c r="W40" s="849" t="s">
        <v>2137</v>
      </c>
      <c r="X40" s="849"/>
      <c r="Y40" s="1006"/>
      <c r="Z40" s="852" t="s">
        <v>2138</v>
      </c>
      <c r="AA40" s="855" t="s">
        <v>2138</v>
      </c>
      <c r="AB40" s="855" t="s">
        <v>2138</v>
      </c>
      <c r="AC40" s="855" t="s">
        <v>2138</v>
      </c>
      <c r="AD40" s="852"/>
    </row>
    <row customHeight="1" ht="27">
      <c r="A41" s="851"/>
      <c r="B41" s="905">
        <v>24</v>
      </c>
      <c r="C41" s="849" t="s">
        <v>2139</v>
      </c>
      <c r="D41" s="973"/>
      <c r="E41" s="849"/>
      <c r="F41" s="849"/>
      <c r="G41" s="849"/>
      <c r="H41" s="897"/>
      <c r="I41" s="1011" t="str">
        <f>INDEX(TEMPLATE_NUMBER_POINT_FHD,B41,MATCH(TEMPLATE_SPHERE,TEMPLATE_SPHERE_LIST_FOR_NOTE,0))</f>
        <v>2.8.1</v>
      </c>
      <c r="J41" s="1011" t="str">
        <f>INDEX(TEMPLATE_DATA_POINT_FHD,B41,MATCH(TEMPLATE_SPHERE,TEMPLATE_SPHERE_LIST_FOR_NOTE,0))</f>
        <v>Расходы на текущий ремонт</v>
      </c>
      <c r="K41" s="1011" t="str">
        <f>INDEX(TEMPLATE_NOTE_POINT_FHD,B41,MATCH(TEMPLATE_SPHERE,TEMPLATE_SPHERE_LIST_FOR_NOTE,0))</f>
        <v>Указываются расходы на текущий ремонт, отнесенные к общепроизводственным расходам.</v>
      </c>
      <c r="L41" s="850" t="str">
        <f>IF(I41=0,"",I41)</f>
        <v>2.8.1</v>
      </c>
      <c r="M41" s="850" t="str">
        <f>IF(J41=0,"",J41)</f>
        <v>Расходы на текущий ремонт</v>
      </c>
      <c r="N41" s="850" t="str">
        <f>IF(K41=0,"",K41)</f>
        <v>Указываются расходы на текущий ремонт, отнесенные к общепроизводственным расходам.</v>
      </c>
      <c r="O41" s="963" t="s">
        <v>2140</v>
      </c>
      <c r="P41" s="963" t="s">
        <v>2127</v>
      </c>
      <c r="Q41" s="963" t="s">
        <v>2140</v>
      </c>
      <c r="R41" s="963" t="s">
        <v>2127</v>
      </c>
      <c r="S41" s="963"/>
      <c r="T41" s="849" t="s">
        <v>2141</v>
      </c>
      <c r="U41" s="849" t="s">
        <v>2141</v>
      </c>
      <c r="V41" s="849" t="s">
        <v>2141</v>
      </c>
      <c r="W41" s="849" t="s">
        <v>2141</v>
      </c>
      <c r="X41" s="849"/>
      <c r="Y41" s="1006"/>
      <c r="Z41" s="852" t="s">
        <v>2142</v>
      </c>
      <c r="AA41" s="852" t="s">
        <v>2142</v>
      </c>
      <c r="AB41" s="852" t="s">
        <v>2142</v>
      </c>
      <c r="AC41" s="852" t="s">
        <v>2142</v>
      </c>
      <c r="AD41" s="852"/>
    </row>
    <row customHeight="1" ht="27">
      <c r="A42" s="851"/>
      <c r="B42" s="905">
        <v>25</v>
      </c>
      <c r="C42" s="849" t="s">
        <v>2143</v>
      </c>
      <c r="D42" s="973"/>
      <c r="E42" s="849"/>
      <c r="F42" s="849"/>
      <c r="G42" s="849"/>
      <c r="H42" s="897"/>
      <c r="I42" s="1011" t="str">
        <f>INDEX(TEMPLATE_NUMBER_POINT_FHD,B42,MATCH(TEMPLATE_SPHERE,TEMPLATE_SPHERE_LIST_FOR_NOTE,0))</f>
        <v>2.8.2</v>
      </c>
      <c r="J42" s="1011" t="str">
        <f>INDEX(TEMPLATE_DATA_POINT_FHD,B42,MATCH(TEMPLATE_SPHERE,TEMPLATE_SPHERE_LIST_FOR_NOTE,0))</f>
        <v>Расходы на капитальный ремонт</v>
      </c>
      <c r="K42" s="1011" t="str">
        <f>INDEX(TEMPLATE_NOTE_POINT_FHD,B42,MATCH(TEMPLATE_SPHERE,TEMPLATE_SPHERE_LIST_FOR_NOTE,0))</f>
        <v>Указываются расходы на капитальный ремонт, отнесенные к общепроизводственным расходам.</v>
      </c>
      <c r="L42" s="850" t="str">
        <f>IF(I42=0,"",I42)</f>
        <v>2.8.2</v>
      </c>
      <c r="M42" s="850" t="str">
        <f>IF(J42=0,"",J42)</f>
        <v>Расходы на капитальный ремонт</v>
      </c>
      <c r="N42" s="850" t="str">
        <f>IF(K42=0,"",K42)</f>
        <v>Указываются расходы на капитальный ремонт, отнесенные к общепроизводственным расходам.</v>
      </c>
      <c r="O42" s="963" t="s">
        <v>2144</v>
      </c>
      <c r="P42" s="963" t="s">
        <v>2130</v>
      </c>
      <c r="Q42" s="963" t="s">
        <v>2144</v>
      </c>
      <c r="R42" s="963" t="s">
        <v>2130</v>
      </c>
      <c r="S42" s="963"/>
      <c r="T42" s="849" t="s">
        <v>2145</v>
      </c>
      <c r="U42" s="849" t="s">
        <v>2145</v>
      </c>
      <c r="V42" s="849" t="s">
        <v>2145</v>
      </c>
      <c r="W42" s="849" t="s">
        <v>2145</v>
      </c>
      <c r="X42" s="849"/>
      <c r="Y42" s="1006"/>
      <c r="Z42" s="852" t="s">
        <v>2146</v>
      </c>
      <c r="AA42" s="852" t="s">
        <v>2146</v>
      </c>
      <c r="AB42" s="852" t="s">
        <v>2146</v>
      </c>
      <c r="AC42" s="852" t="s">
        <v>2146</v>
      </c>
      <c r="AD42" s="852"/>
    </row>
    <row customHeight="1" ht="18">
      <c r="A43" s="851"/>
      <c r="B43" s="905">
        <v>26</v>
      </c>
      <c r="C43" s="849">
        <v>14</v>
      </c>
      <c r="D43" s="973"/>
      <c r="E43" s="849"/>
      <c r="F43" s="849"/>
      <c r="G43" s="849"/>
      <c r="H43" s="897"/>
      <c r="I43" s="1011" t="str">
        <f>INDEX(TEMPLATE_NUMBER_POINT_FHD,B43,MATCH(TEMPLATE_SPHERE,TEMPLATE_SPHERE_LIST_FOR_NOTE,0))</f>
        <v>2.9</v>
      </c>
      <c r="J43" s="1011" t="str">
        <f>INDEX(TEMPLATE_DATA_POINT_FHD,B43,MATCH(TEMPLATE_SPHERE,TEMPLATE_SPHERE_LIST_FOR_NOTE,0))</f>
        <v>Общехозяйственные расходы, в том числе:</v>
      </c>
      <c r="K43" s="1011" t="str">
        <f>INDEX(TEMPLATE_NOTE_POINT_FHD,B43,MATCH(TEMPLATE_SPHERE,TEMPLATE_SPHERE_LIST_FOR_NOTE,0))</f>
        <v>Указывается общая сумма общехозяйственных расходов.</v>
      </c>
      <c r="L43" s="850" t="str">
        <f>IF(I43=0,"",I43)</f>
        <v>2.9</v>
      </c>
      <c r="M43" s="850" t="str">
        <f>IF(J43=0,"",J43)</f>
        <v>Общехозяйственные расходы, в том числе:</v>
      </c>
      <c r="N43" s="850" t="str">
        <f>IF(K43=0,"",K43)</f>
        <v>Указывается общая сумма общехозяйственных расходов.</v>
      </c>
      <c r="O43" s="963" t="s">
        <v>2147</v>
      </c>
      <c r="P43" s="963" t="s">
        <v>782</v>
      </c>
      <c r="Q43" s="963" t="s">
        <v>2147</v>
      </c>
      <c r="R43" s="963" t="s">
        <v>782</v>
      </c>
      <c r="S43" s="963"/>
      <c r="T43" s="849" t="s">
        <v>2148</v>
      </c>
      <c r="U43" s="849" t="s">
        <v>2148</v>
      </c>
      <c r="V43" s="849" t="s">
        <v>2148</v>
      </c>
      <c r="W43" s="849" t="s">
        <v>2148</v>
      </c>
      <c r="X43" s="849"/>
      <c r="Y43" s="1006"/>
      <c r="Z43" s="852" t="s">
        <v>2149</v>
      </c>
      <c r="AA43" s="852" t="s">
        <v>2149</v>
      </c>
      <c r="AB43" s="852" t="s">
        <v>2149</v>
      </c>
      <c r="AC43" s="852" t="s">
        <v>2149</v>
      </c>
      <c r="AD43" s="852"/>
    </row>
    <row customHeight="1" ht="27">
      <c r="A44" s="851"/>
      <c r="B44" s="905">
        <v>27</v>
      </c>
      <c r="C44" s="849" t="s">
        <v>2150</v>
      </c>
      <c r="D44" s="973"/>
      <c r="E44" s="849"/>
      <c r="F44" s="849"/>
      <c r="G44" s="849"/>
      <c r="H44" s="897"/>
      <c r="I44" s="1011" t="str">
        <f>INDEX(TEMPLATE_NUMBER_POINT_FHD,B44,MATCH(TEMPLATE_SPHERE,TEMPLATE_SPHERE_LIST_FOR_NOTE,0))</f>
        <v>2.9.1</v>
      </c>
      <c r="J44" s="1011" t="str">
        <f>INDEX(TEMPLATE_DATA_POINT_FHD,B44,MATCH(TEMPLATE_SPHERE,TEMPLATE_SPHERE_LIST_FOR_NOTE,0))</f>
        <v>Расходы на текущий ремонт</v>
      </c>
      <c r="K44" s="1011" t="str">
        <f>INDEX(TEMPLATE_NOTE_POINT_FHD,B44,MATCH(TEMPLATE_SPHERE,TEMPLATE_SPHERE_LIST_FOR_NOTE,0))</f>
        <v>Указываются расходы на текущий ремонт, отнесенные к общехозяйственным расходам.</v>
      </c>
      <c r="L44" s="850" t="str">
        <f>IF(I44=0,"",I44)</f>
        <v>2.9.1</v>
      </c>
      <c r="M44" s="850" t="str">
        <f>IF(J44=0,"",J44)</f>
        <v>Расходы на текущий ремонт</v>
      </c>
      <c r="N44" s="850" t="str">
        <f>IF(K44=0,"",K44)</f>
        <v>Указываются расходы на текущий ремонт, отнесенные к общехозяйственным расходам.</v>
      </c>
      <c r="O44" s="963" t="s">
        <v>2151</v>
      </c>
      <c r="P44" s="963" t="s">
        <v>2152</v>
      </c>
      <c r="Q44" s="963" t="s">
        <v>2151</v>
      </c>
      <c r="R44" s="963" t="s">
        <v>2152</v>
      </c>
      <c r="S44" s="963"/>
      <c r="T44" s="849" t="s">
        <v>2141</v>
      </c>
      <c r="U44" s="849" t="s">
        <v>2141</v>
      </c>
      <c r="V44" s="849" t="s">
        <v>2141</v>
      </c>
      <c r="W44" s="849" t="s">
        <v>2141</v>
      </c>
      <c r="X44" s="849"/>
      <c r="Y44" s="1006"/>
      <c r="Z44" s="852" t="s">
        <v>2153</v>
      </c>
      <c r="AA44" s="852" t="s">
        <v>2153</v>
      </c>
      <c r="AB44" s="852" t="s">
        <v>2153</v>
      </c>
      <c r="AC44" s="852" t="s">
        <v>2153</v>
      </c>
      <c r="AD44" s="852"/>
    </row>
    <row customHeight="1" ht="27">
      <c r="A45" s="851"/>
      <c r="B45" s="905">
        <v>28</v>
      </c>
      <c r="C45" s="849" t="s">
        <v>2154</v>
      </c>
      <c r="D45" s="973"/>
      <c r="E45" s="849"/>
      <c r="F45" s="849"/>
      <c r="G45" s="849"/>
      <c r="H45" s="897"/>
      <c r="I45" s="1011" t="str">
        <f>INDEX(TEMPLATE_NUMBER_POINT_FHD,B45,MATCH(TEMPLATE_SPHERE,TEMPLATE_SPHERE_LIST_FOR_NOTE,0))</f>
        <v>2.9.2</v>
      </c>
      <c r="J45" s="1011" t="str">
        <f>INDEX(TEMPLATE_DATA_POINT_FHD,B45,MATCH(TEMPLATE_SPHERE,TEMPLATE_SPHERE_LIST_FOR_NOTE,0))</f>
        <v>Расходы на капитальный ремонт</v>
      </c>
      <c r="K45" s="1011" t="str">
        <f>INDEX(TEMPLATE_NOTE_POINT_FHD,B45,MATCH(TEMPLATE_SPHERE,TEMPLATE_SPHERE_LIST_FOR_NOTE,0))</f>
        <v>Указываются расходы на капитальный ремонт, отнесенные к общехозяйственным расходам.</v>
      </c>
      <c r="L45" s="850" t="str">
        <f>IF(I45=0,"",I45)</f>
        <v>2.9.2</v>
      </c>
      <c r="M45" s="850" t="str">
        <f>IF(J45=0,"",J45)</f>
        <v>Расходы на капитальный ремонт</v>
      </c>
      <c r="N45" s="850" t="str">
        <f>IF(K45=0,"",K45)</f>
        <v>Указываются расходы на капитальный ремонт, отнесенные к общехозяйственным расходам.</v>
      </c>
      <c r="O45" s="963" t="s">
        <v>2155</v>
      </c>
      <c r="P45" s="963" t="s">
        <v>2156</v>
      </c>
      <c r="Q45" s="963" t="s">
        <v>2155</v>
      </c>
      <c r="R45" s="963" t="s">
        <v>2156</v>
      </c>
      <c r="S45" s="963"/>
      <c r="T45" s="849" t="s">
        <v>2145</v>
      </c>
      <c r="U45" s="849" t="s">
        <v>2145</v>
      </c>
      <c r="V45" s="849" t="s">
        <v>2145</v>
      </c>
      <c r="W45" s="849" t="s">
        <v>2145</v>
      </c>
      <c r="X45" s="849"/>
      <c r="Y45" s="1006"/>
      <c r="Z45" s="852" t="s">
        <v>2157</v>
      </c>
      <c r="AA45" s="852" t="s">
        <v>2157</v>
      </c>
      <c r="AB45" s="852" t="s">
        <v>2157</v>
      </c>
      <c r="AC45" s="852" t="s">
        <v>2157</v>
      </c>
      <c r="AD45" s="852"/>
    </row>
    <row customHeight="1" ht="54">
      <c r="A46" s="851"/>
      <c r="B46" s="905">
        <v>29</v>
      </c>
      <c r="C46" s="849">
        <v>15</v>
      </c>
      <c r="D46" s="973"/>
      <c r="E46" s="849"/>
      <c r="F46" s="849"/>
      <c r="G46" s="849"/>
      <c r="H46" s="897"/>
      <c r="I46" s="1011" t="str">
        <f>INDEX(TEMPLATE_NUMBER_POINT_FHD,B46,MATCH(TEMPLATE_SPHERE,TEMPLATE_SPHERE_LIST_FOR_NOTE,0))</f>
        <v>2.10</v>
      </c>
      <c r="J46" s="1011" t="str">
        <f>INDEX(TEMPLATE_DATA_POINT_FHD,B46,MATCH(TEMPLATE_SPHERE,TEMPLATE_SPHERE_LIST_FOR_NOTE,0))</f>
        <v>Расходы на капитальный и текущий ремонт основных средств</v>
      </c>
      <c r="K46" s="1011"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0" t="str">
        <f>IF(I46=0,"",I46)</f>
        <v>2.10</v>
      </c>
      <c r="M46" s="850" t="str">
        <f>IF(J46=0,"",J46)</f>
        <v>Расходы на капитальный и текущий ремонт основных средств</v>
      </c>
      <c r="N46" s="850"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3" t="s">
        <v>2158</v>
      </c>
      <c r="P46" s="963" t="s">
        <v>2136</v>
      </c>
      <c r="Q46" s="963" t="s">
        <v>2158</v>
      </c>
      <c r="R46" s="963" t="s">
        <v>2136</v>
      </c>
      <c r="S46" s="963"/>
      <c r="T46" s="85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9" t="s">
        <v>2159</v>
      </c>
      <c r="V46" s="849" t="s">
        <v>2159</v>
      </c>
      <c r="W46" s="849" t="s">
        <v>2159</v>
      </c>
      <c r="X46" s="849"/>
      <c r="Y46" s="1006"/>
      <c r="Z46" s="852" t="s">
        <v>2160</v>
      </c>
      <c r="AA46" s="852" t="s">
        <v>2161</v>
      </c>
      <c r="AB46" s="852" t="s">
        <v>2161</v>
      </c>
      <c r="AC46" s="852" t="s">
        <v>2161</v>
      </c>
      <c r="AD46" s="852"/>
    </row>
    <row customHeight="1" ht="54">
      <c r="A47" s="851"/>
      <c r="B47" s="905">
        <v>30</v>
      </c>
      <c r="C47" s="849" t="s">
        <v>2162</v>
      </c>
      <c r="D47" s="973"/>
      <c r="E47" s="849"/>
      <c r="F47" s="849"/>
      <c r="G47" s="849"/>
      <c r="H47" s="897"/>
      <c r="I47" s="1011" t="str">
        <f>INDEX(TEMPLATE_NUMBER_POINT_FHD,B47,MATCH(TEMPLATE_SPHERE,TEMPLATE_SPHERE_LIST_FOR_NOTE,0))</f>
        <v>2.10.1</v>
      </c>
      <c r="J47" s="101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1">
        <f>INDEX(TEMPLATE_NOTE_POINT_FHD,B47,MATCH(TEMPLATE_SPHERE,TEMPLATE_SPHERE_LIST_FOR_NOTE,0))</f>
        <v>0</v>
      </c>
      <c r="L47" s="850" t="str">
        <f>IF(I47=0,"",I47)</f>
        <v>2.10.1</v>
      </c>
      <c r="M47" s="8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0" t="str">
        <f>IF(K47=0,"",K47)</f>
        <v/>
      </c>
      <c r="O47" s="963" t="s">
        <v>2163</v>
      </c>
      <c r="P47" s="963" t="s">
        <v>2140</v>
      </c>
      <c r="Q47" s="963" t="s">
        <v>2163</v>
      </c>
      <c r="R47" s="963" t="s">
        <v>2140</v>
      </c>
      <c r="S47" s="963"/>
      <c r="T47" s="849" t="s">
        <v>2164</v>
      </c>
      <c r="U47" s="849" t="s">
        <v>2164</v>
      </c>
      <c r="V47" s="849" t="s">
        <v>2164</v>
      </c>
      <c r="W47" s="849" t="s">
        <v>2164</v>
      </c>
      <c r="X47" s="849"/>
      <c r="Y47" s="1006"/>
      <c r="Z47" s="852"/>
      <c r="AA47" s="855"/>
      <c r="AB47" s="855"/>
      <c r="AC47" s="855"/>
      <c r="AD47" s="852"/>
    </row>
    <row customHeight="1" ht="54">
      <c r="A48" s="851"/>
      <c r="B48" s="905">
        <v>31</v>
      </c>
      <c r="C48" s="849">
        <v>16</v>
      </c>
      <c r="D48" s="973"/>
      <c r="E48" s="849"/>
      <c r="F48" s="849"/>
      <c r="G48" s="849"/>
      <c r="H48" s="897"/>
      <c r="I48" s="1011" t="str">
        <f>INDEX(TEMPLATE_NUMBER_POINT_FHD,B48,MATCH(TEMPLATE_SPHERE,TEMPLATE_SPHERE_LIST_FOR_NOTE,0))</f>
        <v>2.11</v>
      </c>
      <c r="J48" s="1011"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11"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50" t="str">
        <f>IF(I48=0,"",I48)</f>
        <v>2.11</v>
      </c>
      <c r="M48" s="850"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50"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3"/>
      <c r="P48" s="963" t="s">
        <v>2147</v>
      </c>
      <c r="Q48" s="963" t="s">
        <v>2165</v>
      </c>
      <c r="R48" s="963" t="s">
        <v>2147</v>
      </c>
      <c r="S48" s="963"/>
      <c r="T48" s="849"/>
      <c r="U48" s="849" t="s">
        <v>2166</v>
      </c>
      <c r="V48" s="849" t="s">
        <v>2167</v>
      </c>
      <c r="W48" s="849" t="s">
        <v>2167</v>
      </c>
      <c r="X48" s="849"/>
      <c r="Y48" s="1006"/>
      <c r="Z48" s="852"/>
      <c r="AA48" s="855" t="s">
        <v>2161</v>
      </c>
      <c r="AB48" s="855" t="s">
        <v>2161</v>
      </c>
      <c r="AC48" s="855" t="s">
        <v>2161</v>
      </c>
      <c r="AD48" s="852"/>
    </row>
    <row customHeight="1" ht="54">
      <c r="A49" s="851"/>
      <c r="B49" s="905">
        <v>32</v>
      </c>
      <c r="C49" s="849" t="s">
        <v>2168</v>
      </c>
      <c r="D49" s="973"/>
      <c r="E49" s="849"/>
      <c r="F49" s="849"/>
      <c r="G49" s="849"/>
      <c r="H49" s="897"/>
      <c r="I49" s="1011" t="str">
        <f>INDEX(TEMPLATE_NUMBER_POINT_FHD,B49,MATCH(TEMPLATE_SPHERE,TEMPLATE_SPHERE_LIST_FOR_NOTE,0))</f>
        <v>2.11.1</v>
      </c>
      <c r="J49" s="1011"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1">
        <f>INDEX(TEMPLATE_NOTE_POINT_FHD,B49,MATCH(TEMPLATE_SPHERE,TEMPLATE_SPHERE_LIST_FOR_NOTE,0))</f>
        <v>0</v>
      </c>
      <c r="L49" s="850" t="str">
        <f>IF(I49=0,"",I49)</f>
        <v>2.11.1</v>
      </c>
      <c r="M49" s="850"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50" t="str">
        <f>IF(K49=0,"",K49)</f>
        <v/>
      </c>
      <c r="O49" s="963"/>
      <c r="P49" s="963" t="s">
        <v>2151</v>
      </c>
      <c r="Q49" s="963" t="s">
        <v>2169</v>
      </c>
      <c r="R49" s="963" t="s">
        <v>2151</v>
      </c>
      <c r="S49" s="963"/>
      <c r="T49" s="849"/>
      <c r="U49" s="849" t="s">
        <v>2164</v>
      </c>
      <c r="V49" s="849" t="s">
        <v>2164</v>
      </c>
      <c r="W49" s="849" t="s">
        <v>2164</v>
      </c>
      <c r="X49" s="849"/>
      <c r="Y49" s="1006"/>
      <c r="Z49" s="852"/>
      <c r="AA49" s="855"/>
      <c r="AB49" s="855"/>
      <c r="AC49" s="855"/>
      <c r="AD49" s="852"/>
    </row>
    <row customHeight="1" ht="126">
      <c r="A50" s="851"/>
      <c r="B50" s="905">
        <v>33</v>
      </c>
      <c r="C50" s="849">
        <v>17</v>
      </c>
      <c r="D50" s="973"/>
      <c r="E50" s="849"/>
      <c r="F50" s="849"/>
      <c r="G50" s="849"/>
      <c r="H50" s="897"/>
      <c r="I50" s="1011" t="str">
        <f>INDEX(TEMPLATE_NUMBER_POINT_FHD,B50,MATCH(TEMPLATE_SPHERE,TEMPLATE_SPHERE_LIST_FOR_NOTE,0))</f>
        <v>2.12</v>
      </c>
      <c r="J50" s="1011"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1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50" t="str">
        <f>IF(I50=0,"",I50)</f>
        <v>2.12</v>
      </c>
      <c r="M50" s="850"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50"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3" t="s">
        <v>2165</v>
      </c>
      <c r="P50" s="963" t="s">
        <v>2158</v>
      </c>
      <c r="Q50" s="963" t="s">
        <v>2170</v>
      </c>
      <c r="R50" s="963" t="s">
        <v>2158</v>
      </c>
      <c r="S50" s="963"/>
      <c r="T50" s="849" t="s">
        <v>2171</v>
      </c>
      <c r="U50" s="849" t="s">
        <v>2172</v>
      </c>
      <c r="V50" s="849" t="s">
        <v>2173</v>
      </c>
      <c r="W50" s="849" t="s">
        <v>2174</v>
      </c>
      <c r="X50" s="849"/>
      <c r="Y50" s="1006"/>
      <c r="Z50" s="852" t="s">
        <v>2175</v>
      </c>
      <c r="AA50" s="855" t="s">
        <v>2176</v>
      </c>
      <c r="AB50" s="855" t="s">
        <v>2176</v>
      </c>
      <c r="AC50" s="855" t="s">
        <v>2176</v>
      </c>
      <c r="AD50" s="852"/>
    </row>
    <row customHeight="1" ht="27">
      <c r="A51" s="851"/>
      <c r="B51" s="905">
        <v>34</v>
      </c>
      <c r="C51" s="849" t="s">
        <v>2177</v>
      </c>
      <c r="D51" s="973"/>
      <c r="E51" s="849"/>
      <c r="F51" s="849"/>
      <c r="G51" s="849"/>
      <c r="H51" s="897"/>
      <c r="I51" s="1011">
        <f>INDEX(TEMPLATE_NUMBER_POINT_FHD,B51,MATCH(TEMPLATE_SPHERE,TEMPLATE_SPHERE_LIST_FOR_NOTE,0))</f>
        <v>0</v>
      </c>
      <c r="J51" s="1011">
        <f>INDEX(TEMPLATE_DATA_POINT_FHD,B51,MATCH(TEMPLATE_SPHERE,TEMPLATE_SPHERE_LIST_FOR_NOTE,0))</f>
        <v>0</v>
      </c>
      <c r="K51" s="1011">
        <f>INDEX(TEMPLATE_NOTE_POINT_FHD,B51,MATCH(TEMPLATE_SPHERE,TEMPLATE_SPHERE_LIST_FOR_NOTE,0))</f>
        <v>0</v>
      </c>
      <c r="L51" s="850" t="str">
        <f>IF(I51=0,"",I51)</f>
        <v/>
      </c>
      <c r="M51" s="850" t="str">
        <f>IF(J51=0,"",J51)</f>
        <v/>
      </c>
      <c r="N51" s="850" t="str">
        <f>IF(K51=0,"",K51)</f>
        <v/>
      </c>
      <c r="O51" s="963" t="s">
        <v>91</v>
      </c>
      <c r="P51" s="963"/>
      <c r="Q51" s="963"/>
      <c r="R51" s="963"/>
      <c r="S51" s="963"/>
      <c r="T51" s="849" t="s">
        <v>2178</v>
      </c>
      <c r="U51" s="849"/>
      <c r="V51" s="849"/>
      <c r="W51" s="849"/>
      <c r="X51" s="849"/>
      <c r="Y51" s="1006"/>
      <c r="Z51" s="852"/>
      <c r="AA51" s="855"/>
      <c r="AB51" s="855"/>
      <c r="AC51" s="855"/>
      <c r="AD51" s="852"/>
    </row>
    <row customHeight="1" ht="36">
      <c r="A52" s="851"/>
      <c r="B52" s="905">
        <v>35</v>
      </c>
      <c r="C52" s="849" t="s">
        <v>2071</v>
      </c>
      <c r="D52" s="973" t="s">
        <v>2071</v>
      </c>
      <c r="E52" s="849" t="s">
        <v>2071</v>
      </c>
      <c r="F52" s="849" t="s">
        <v>2071</v>
      </c>
      <c r="G52" s="849"/>
      <c r="H52" s="897"/>
      <c r="I52" s="1011" t="str">
        <f>INDEX(TEMPLATE_NUMBER_POINT_FHD,B52,MATCH(TEMPLATE_SPHERE,TEMPLATE_SPHERE_LIST_FOR_NOTE,0))</f>
        <v>3</v>
      </c>
      <c r="J52" s="1011"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11" t="str">
        <f>INDEX(TEMPLATE_NOTE_POINT_FHD,B52,MATCH(TEMPLATE_SPHERE,TEMPLATE_SPHERE_LIST_FOR_NOTE,0))</f>
        <v>Указывается общая сумма чистой прибыли, полученной от регулируемого вида деятельности.</v>
      </c>
      <c r="L52" s="850" t="str">
        <f>IF(I52=0,"",I52)</f>
        <v>3</v>
      </c>
      <c r="M52" s="850" t="str">
        <f>IF(J52=0,"",J52)</f>
        <v>Чистая прибыль, полученная от регулируемого вида деятельности в сфере холодного водоснабжения, в том числе:</v>
      </c>
      <c r="N52" s="850" t="str">
        <f>IF(K52=0,"",K52)</f>
        <v>Указывается общая сумма чистой прибыли, полученной от регулируемого вида деятельности.</v>
      </c>
      <c r="O52" s="963" t="s">
        <v>92</v>
      </c>
      <c r="P52" s="963" t="s">
        <v>91</v>
      </c>
      <c r="Q52" s="963" t="s">
        <v>91</v>
      </c>
      <c r="R52" s="963" t="s">
        <v>91</v>
      </c>
      <c r="S52" s="963"/>
      <c r="T52" s="849" t="s">
        <v>2179</v>
      </c>
      <c r="U52" s="849" t="s">
        <v>2180</v>
      </c>
      <c r="V52" s="849" t="s">
        <v>2181</v>
      </c>
      <c r="W52" s="849" t="s">
        <v>2182</v>
      </c>
      <c r="X52" s="849"/>
      <c r="Y52" s="1006"/>
      <c r="Z52" s="852" t="s">
        <v>786</v>
      </c>
      <c r="AA52" s="855" t="s">
        <v>786</v>
      </c>
      <c r="AB52" s="855" t="s">
        <v>786</v>
      </c>
      <c r="AC52" s="855" t="s">
        <v>786</v>
      </c>
      <c r="AD52" s="852"/>
    </row>
    <row customHeight="1" ht="36">
      <c r="A53" s="851"/>
      <c r="B53" s="905">
        <v>36</v>
      </c>
      <c r="C53" s="849">
        <v>1</v>
      </c>
      <c r="D53" s="973"/>
      <c r="E53" s="849"/>
      <c r="F53" s="849"/>
      <c r="G53" s="849"/>
      <c r="H53" s="897"/>
      <c r="I53" s="1011" t="str">
        <f>INDEX(TEMPLATE_NUMBER_POINT_FHD,B53,MATCH(TEMPLATE_SPHERE,TEMPLATE_SPHERE_LIST_FOR_NOTE,0))</f>
        <v>3.1</v>
      </c>
      <c r="J53" s="101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1">
        <f>INDEX(TEMPLATE_NOTE_POINT_FHD,B53,MATCH(TEMPLATE_SPHERE,TEMPLATE_SPHERE_LIST_FOR_NOTE,0))</f>
        <v>0</v>
      </c>
      <c r="L53" s="850" t="str">
        <f>IF(I53=0,"",I53)</f>
        <v>3.1</v>
      </c>
      <c r="M53" s="8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0" t="str">
        <f>IF(K53=0,"",K53)</f>
        <v/>
      </c>
      <c r="O53" s="963" t="s">
        <v>790</v>
      </c>
      <c r="P53" s="963" t="s">
        <v>340</v>
      </c>
      <c r="Q53" s="963" t="s">
        <v>340</v>
      </c>
      <c r="R53" s="963" t="s">
        <v>340</v>
      </c>
      <c r="S53" s="963"/>
      <c r="T53" s="849" t="s">
        <v>2183</v>
      </c>
      <c r="U53" s="849" t="s">
        <v>2183</v>
      </c>
      <c r="V53" s="849" t="s">
        <v>2183</v>
      </c>
      <c r="W53" s="849" t="s">
        <v>2183</v>
      </c>
      <c r="X53" s="849"/>
      <c r="Y53" s="1006"/>
      <c r="Z53" s="852"/>
      <c r="AA53" s="855"/>
      <c r="AB53" s="852"/>
      <c r="AC53" s="852"/>
      <c r="AD53" s="852"/>
    </row>
    <row customHeight="1" ht="18">
      <c r="A54" s="851"/>
      <c r="B54" s="905">
        <v>37</v>
      </c>
      <c r="C54" s="849" t="s">
        <v>2077</v>
      </c>
      <c r="D54" s="973" t="s">
        <v>2077</v>
      </c>
      <c r="E54" s="849" t="s">
        <v>2077</v>
      </c>
      <c r="F54" s="849" t="s">
        <v>2077</v>
      </c>
      <c r="G54" s="849"/>
      <c r="H54" s="897"/>
      <c r="I54" s="1011" t="str">
        <f>INDEX(TEMPLATE_NUMBER_POINT_FHD,B54,MATCH(TEMPLATE_SPHERE,TEMPLATE_SPHERE_LIST_FOR_NOTE,0))</f>
        <v>4</v>
      </c>
      <c r="J54" s="1011" t="str">
        <f>INDEX(TEMPLATE_DATA_POINT_FHD,B54,MATCH(TEMPLATE_SPHERE,TEMPLATE_SPHERE_LIST_FOR_NOTE,0))</f>
        <v>Изменение стоимости основных фондов, в том числе:</v>
      </c>
      <c r="K54" s="1011" t="str">
        <f>INDEX(TEMPLATE_NOTE_POINT_FHD,B54,MATCH(TEMPLATE_SPHERE,TEMPLATE_SPHERE_LIST_FOR_NOTE,0))</f>
        <v>Указывается общее изменение стоимости основных фондов.</v>
      </c>
      <c r="L54" s="850" t="str">
        <f>IF(I54=0,"",I54)</f>
        <v>4</v>
      </c>
      <c r="M54" s="850" t="str">
        <f>IF(J54=0,"",J54)</f>
        <v>Изменение стоимости основных фондов, в том числе:</v>
      </c>
      <c r="N54" s="850" t="str">
        <f>IF(K54=0,"",K54)</f>
        <v>Указывается общее изменение стоимости основных фондов.</v>
      </c>
      <c r="O54" s="963" t="s">
        <v>113</v>
      </c>
      <c r="P54" s="963" t="s">
        <v>92</v>
      </c>
      <c r="Q54" s="963" t="s">
        <v>92</v>
      </c>
      <c r="R54" s="963" t="s">
        <v>92</v>
      </c>
      <c r="S54" s="963"/>
      <c r="T54" s="849" t="s">
        <v>788</v>
      </c>
      <c r="U54" s="849" t="s">
        <v>788</v>
      </c>
      <c r="V54" s="849" t="s">
        <v>788</v>
      </c>
      <c r="W54" s="849" t="s">
        <v>788</v>
      </c>
      <c r="X54" s="849"/>
      <c r="Y54" s="1006"/>
      <c r="Z54" s="852" t="s">
        <v>789</v>
      </c>
      <c r="AA54" s="852" t="s">
        <v>789</v>
      </c>
      <c r="AB54" s="852" t="s">
        <v>789</v>
      </c>
      <c r="AC54" s="852" t="s">
        <v>789</v>
      </c>
      <c r="AD54" s="852"/>
    </row>
    <row customHeight="1" ht="36">
      <c r="A55" s="851"/>
      <c r="B55" s="905">
        <v>38</v>
      </c>
      <c r="C55" s="849">
        <v>1</v>
      </c>
      <c r="D55" s="973"/>
      <c r="E55" s="849"/>
      <c r="F55" s="849"/>
      <c r="G55" s="849"/>
      <c r="H55" s="897"/>
      <c r="I55" s="1011" t="str">
        <f>INDEX(TEMPLATE_NUMBER_POINT_FHD,B55,MATCH(TEMPLATE_SPHERE,TEMPLATE_SPHERE_LIST_FOR_NOTE,0))</f>
        <v>4.1</v>
      </c>
      <c r="J55" s="1011" t="str">
        <f>INDEX(TEMPLATE_DATA_POINT_FHD,B55,MATCH(TEMPLATE_SPHERE,TEMPLATE_SPHERE_LIST_FOR_NOTE,0))</f>
        <v>Изменение стоимости основных фондов за счет их ввода в эксплуатацию (вывода из эксплуатации)</v>
      </c>
      <c r="K55" s="101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0" t="str">
        <f>IF(I55=0,"",I55)</f>
        <v>4.1</v>
      </c>
      <c r="M55" s="850" t="str">
        <f>IF(J55=0,"",J55)</f>
        <v>Изменение стоимости основных фондов за счет их ввода в эксплуатацию (вывода из эксплуатации)</v>
      </c>
      <c r="N55" s="850" t="str">
        <f>IF(K55=0,"",K55)</f>
        <v>Указываются общее изменение стоимости основных фондов за счет их ввода в эксплуатацию и вывода из эксплуатации.</v>
      </c>
      <c r="O55" s="963" t="s">
        <v>329</v>
      </c>
      <c r="P55" s="963" t="s">
        <v>790</v>
      </c>
      <c r="Q55" s="963" t="s">
        <v>790</v>
      </c>
      <c r="R55" s="963" t="s">
        <v>790</v>
      </c>
      <c r="S55" s="963"/>
      <c r="T55" s="85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9" t="s">
        <v>2184</v>
      </c>
      <c r="V55" s="849" t="s">
        <v>2184</v>
      </c>
      <c r="W55" s="849" t="s">
        <v>2184</v>
      </c>
      <c r="X55" s="849"/>
      <c r="Y55" s="1006"/>
      <c r="Z55" s="852" t="s">
        <v>2185</v>
      </c>
      <c r="AA55" s="852" t="s">
        <v>2185</v>
      </c>
      <c r="AB55" s="852" t="s">
        <v>2185</v>
      </c>
      <c r="AC55" s="852" t="s">
        <v>2185</v>
      </c>
      <c r="AD55" s="852"/>
    </row>
    <row customHeight="1" ht="27">
      <c r="A56" s="851"/>
      <c r="B56" s="905">
        <v>39</v>
      </c>
      <c r="C56" s="849" t="s">
        <v>1058</v>
      </c>
      <c r="D56" s="973"/>
      <c r="E56" s="849"/>
      <c r="F56" s="849"/>
      <c r="G56" s="849"/>
      <c r="H56" s="897"/>
      <c r="I56" s="1011" t="str">
        <f>INDEX(TEMPLATE_NUMBER_POINT_FHD,B56,MATCH(TEMPLATE_SPHERE,TEMPLATE_SPHERE_LIST_FOR_NOTE,0))</f>
        <v>4.1.1</v>
      </c>
      <c r="J56" s="1011" t="str">
        <f>INDEX(TEMPLATE_DATA_POINT_FHD,B56,MATCH(TEMPLATE_SPHERE,TEMPLATE_SPHERE_LIST_FOR_NOTE,0))</f>
        <v>Изменение стоимости основных фондов за счет их ввода в эксплуатацию</v>
      </c>
      <c r="K56" s="1011" t="str">
        <f>INDEX(TEMPLATE_NOTE_POINT_FHD,B56,MATCH(TEMPLATE_SPHERE,TEMPLATE_SPHERE_LIST_FOR_NOTE,0))</f>
        <v>Указываются изменение стоимости основных фондов за счет их ввода в эксплуатацию.</v>
      </c>
      <c r="L56" s="850" t="str">
        <f>IF(I56=0,"",I56)</f>
        <v>4.1.1</v>
      </c>
      <c r="M56" s="850" t="str">
        <f>IF(J56=0,"",J56)</f>
        <v>Изменение стоимости основных фондов за счет их ввода в эксплуатацию</v>
      </c>
      <c r="N56" s="850" t="str">
        <f>IF(K56=0,"",K56)</f>
        <v>Указываются изменение стоимости основных фондов за счет их ввода в эксплуатацию.</v>
      </c>
      <c r="O56" s="963" t="s">
        <v>1182</v>
      </c>
      <c r="P56" s="963" t="s">
        <v>793</v>
      </c>
      <c r="Q56" s="963" t="s">
        <v>793</v>
      </c>
      <c r="R56" s="963" t="s">
        <v>793</v>
      </c>
      <c r="S56" s="963"/>
      <c r="T56" s="85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9" t="s">
        <v>2186</v>
      </c>
      <c r="V56" s="849" t="s">
        <v>2186</v>
      </c>
      <c r="W56" s="849" t="s">
        <v>2186</v>
      </c>
      <c r="X56" s="849"/>
      <c r="Y56" s="1006"/>
      <c r="Z56" s="852" t="s">
        <v>795</v>
      </c>
      <c r="AA56" s="852" t="s">
        <v>795</v>
      </c>
      <c r="AB56" s="852" t="s">
        <v>795</v>
      </c>
      <c r="AC56" s="852" t="s">
        <v>795</v>
      </c>
      <c r="AD56" s="852"/>
    </row>
    <row customHeight="1" ht="27">
      <c r="A57" s="851"/>
      <c r="B57" s="905">
        <v>40</v>
      </c>
      <c r="C57" s="849" t="s">
        <v>1060</v>
      </c>
      <c r="D57" s="973"/>
      <c r="E57" s="849"/>
      <c r="F57" s="849"/>
      <c r="G57" s="849"/>
      <c r="H57" s="897"/>
      <c r="I57" s="1011" t="str">
        <f>INDEX(TEMPLATE_NUMBER_POINT_FHD,B57,MATCH(TEMPLATE_SPHERE,TEMPLATE_SPHERE_LIST_FOR_NOTE,0))</f>
        <v>4.1.2</v>
      </c>
      <c r="J57" s="1011" t="str">
        <f>INDEX(TEMPLATE_DATA_POINT_FHD,B57,MATCH(TEMPLATE_SPHERE,TEMPLATE_SPHERE_LIST_FOR_NOTE,0))</f>
        <v>Изменение стоимости основных фондов за счет их вывода в эксплуатацию</v>
      </c>
      <c r="K57" s="1011" t="str">
        <f>INDEX(TEMPLATE_NOTE_POINT_FHD,B57,MATCH(TEMPLATE_SPHERE,TEMPLATE_SPHERE_LIST_FOR_NOTE,0))</f>
        <v>Указываются изменение стоимости основных фондов за счет их вывода из эксплуатации.</v>
      </c>
      <c r="L57" s="850" t="str">
        <f>IF(I57=0,"",I57)</f>
        <v>4.1.2</v>
      </c>
      <c r="M57" s="850" t="str">
        <f>IF(J57=0,"",J57)</f>
        <v>Изменение стоимости основных фондов за счет их вывода в эксплуатацию</v>
      </c>
      <c r="N57" s="850" t="str">
        <f>IF(K57=0,"",K57)</f>
        <v>Указываются изменение стоимости основных фондов за счет их вывода из эксплуатации.</v>
      </c>
      <c r="O57" s="963" t="s">
        <v>2187</v>
      </c>
      <c r="P57" s="963" t="s">
        <v>796</v>
      </c>
      <c r="Q57" s="963" t="s">
        <v>796</v>
      </c>
      <c r="R57" s="963" t="s">
        <v>796</v>
      </c>
      <c r="S57" s="963"/>
      <c r="T57" s="85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9" t="s">
        <v>2188</v>
      </c>
      <c r="V57" s="849" t="s">
        <v>2188</v>
      </c>
      <c r="W57" s="849" t="s">
        <v>2188</v>
      </c>
      <c r="X57" s="849"/>
      <c r="Y57" s="1006"/>
      <c r="Z57" s="852" t="s">
        <v>798</v>
      </c>
      <c r="AA57" s="852" t="s">
        <v>798</v>
      </c>
      <c r="AB57" s="852" t="s">
        <v>798</v>
      </c>
      <c r="AC57" s="852" t="s">
        <v>798</v>
      </c>
      <c r="AD57" s="852"/>
    </row>
    <row customHeight="1" ht="18">
      <c r="A58" s="851"/>
      <c r="B58" s="905">
        <v>41</v>
      </c>
      <c r="C58" s="849">
        <v>2</v>
      </c>
      <c r="D58" s="973"/>
      <c r="E58" s="849"/>
      <c r="F58" s="849"/>
      <c r="G58" s="849"/>
      <c r="H58" s="897"/>
      <c r="I58" s="1011" t="str">
        <f>INDEX(TEMPLATE_NUMBER_POINT_FHD,B58,MATCH(TEMPLATE_SPHERE,TEMPLATE_SPHERE_LIST_FOR_NOTE,0))</f>
        <v>4.2</v>
      </c>
      <c r="J58" s="1011" t="str">
        <f>INDEX(TEMPLATE_DATA_POINT_FHD,B58,MATCH(TEMPLATE_SPHERE,TEMPLATE_SPHERE_LIST_FOR_NOTE,0))</f>
        <v>Изменение стоимости основных фондов за счет их переоценки</v>
      </c>
      <c r="K58" s="1011">
        <f>INDEX(TEMPLATE_NOTE_POINT_FHD,B58,MATCH(TEMPLATE_SPHERE,TEMPLATE_SPHERE_LIST_FOR_NOTE,0))</f>
        <v>0</v>
      </c>
      <c r="L58" s="850" t="str">
        <f>IF(I58=0,"",I58)</f>
        <v>4.2</v>
      </c>
      <c r="M58" s="850" t="str">
        <f>IF(J58=0,"",J58)</f>
        <v>Изменение стоимости основных фондов за счет их переоценки</v>
      </c>
      <c r="N58" s="850" t="str">
        <f>IF(K58=0,"",K58)</f>
        <v/>
      </c>
      <c r="O58" s="963" t="s">
        <v>918</v>
      </c>
      <c r="P58" s="963" t="s">
        <v>832</v>
      </c>
      <c r="Q58" s="963" t="s">
        <v>832</v>
      </c>
      <c r="R58" s="963" t="s">
        <v>832</v>
      </c>
      <c r="S58" s="963"/>
      <c r="T58" s="850" t="str">
        <f>IF(TITLE_TYPE_ORG="Регулируемая организация","Изменение стоимости основных фондов за счет их переоценки","за счет их переоценки")</f>
        <v>за счет их переоценки</v>
      </c>
      <c r="U58" s="849" t="s">
        <v>2189</v>
      </c>
      <c r="V58" s="849" t="s">
        <v>2189</v>
      </c>
      <c r="W58" s="849" t="s">
        <v>2189</v>
      </c>
      <c r="X58" s="849"/>
      <c r="Y58" s="1006"/>
      <c r="Z58" s="852"/>
      <c r="AA58" s="855"/>
      <c r="AB58" s="852"/>
      <c r="AC58" s="852"/>
      <c r="AD58" s="852"/>
    </row>
    <row customHeight="1" ht="36">
      <c r="A59" s="851"/>
      <c r="B59" s="905">
        <v>42</v>
      </c>
      <c r="C59" s="849">
        <v>3</v>
      </c>
      <c r="D59" s="973" t="s">
        <v>2177</v>
      </c>
      <c r="E59" s="849" t="s">
        <v>2177</v>
      </c>
      <c r="F59" s="849" t="s">
        <v>2177</v>
      </c>
      <c r="G59" s="849"/>
      <c r="H59" s="897"/>
      <c r="I59" s="1011" t="str">
        <f>INDEX(TEMPLATE_NUMBER_POINT_FHD,B59,MATCH(TEMPLATE_SPHERE,TEMPLATE_SPHERE_LIST_FOR_NOTE,0))</f>
        <v>5</v>
      </c>
      <c r="J59" s="1011"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11">
        <f>INDEX(TEMPLATE_NOTE_POINT_FHD,B59,MATCH(TEMPLATE_SPHERE,TEMPLATE_SPHERE_LIST_FOR_NOTE,0))</f>
        <v>0</v>
      </c>
      <c r="L59" s="850" t="str">
        <f>IF(I59=0,"",I59)</f>
        <v>5</v>
      </c>
      <c r="M59" s="850" t="str">
        <f>IF(J59=0,"",J59)</f>
        <v>Валовая прибыль (убытки) от продажи товаров и услуг по регулируемым видам деятельности в сфере холодного водоснабжения</v>
      </c>
      <c r="N59" s="850" t="str">
        <f>IF(K59=0,"",K59)</f>
        <v/>
      </c>
      <c r="O59" s="963"/>
      <c r="P59" s="963" t="s">
        <v>113</v>
      </c>
      <c r="Q59" s="963" t="s">
        <v>113</v>
      </c>
      <c r="R59" s="963" t="s">
        <v>113</v>
      </c>
      <c r="S59" s="963"/>
      <c r="T59" s="849"/>
      <c r="U59" s="849" t="s">
        <v>2190</v>
      </c>
      <c r="V59" s="849" t="s">
        <v>2191</v>
      </c>
      <c r="W59" s="849" t="s">
        <v>2192</v>
      </c>
      <c r="X59" s="849"/>
      <c r="Y59" s="1006"/>
      <c r="Z59" s="852"/>
      <c r="AA59" s="855"/>
      <c r="AB59" s="852"/>
      <c r="AC59" s="852"/>
      <c r="AD59" s="852"/>
    </row>
    <row customHeight="1" ht="81">
      <c r="A60" s="851"/>
      <c r="B60" s="905">
        <v>43</v>
      </c>
      <c r="C60" s="849" t="s">
        <v>2193</v>
      </c>
      <c r="D60" s="973" t="s">
        <v>2193</v>
      </c>
      <c r="E60" s="849" t="s">
        <v>2193</v>
      </c>
      <c r="F60" s="849" t="s">
        <v>2193</v>
      </c>
      <c r="G60" s="849"/>
      <c r="H60" s="897"/>
      <c r="I60" s="1011" t="str">
        <f>INDEX(TEMPLATE_NUMBER_POINT_FHD,B60,MATCH(TEMPLATE_SPHERE,TEMPLATE_SPHERE_LIST_FOR_NOTE,0))</f>
        <v>6</v>
      </c>
      <c r="J60" s="1011"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1"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50" t="str">
        <f>IF(I60=0,"",I60)</f>
        <v>6</v>
      </c>
      <c r="M60" s="850" t="str">
        <f>IF(J60=0,"",J60)</f>
        <v>Годовая бухгалтерская (финансовая) отчетность, включая бухгалтерский баланс и приложения к нему</v>
      </c>
      <c r="N60" s="850"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3" t="s">
        <v>93</v>
      </c>
      <c r="P60" s="963" t="s">
        <v>93</v>
      </c>
      <c r="Q60" s="963" t="s">
        <v>93</v>
      </c>
      <c r="R60" s="963" t="s">
        <v>93</v>
      </c>
      <c r="S60" s="963"/>
      <c r="T60" s="849" t="s">
        <v>666</v>
      </c>
      <c r="U60" s="849" t="s">
        <v>666</v>
      </c>
      <c r="V60" s="849" t="s">
        <v>666</v>
      </c>
      <c r="W60" s="849" t="s">
        <v>666</v>
      </c>
      <c r="X60" s="849"/>
      <c r="Y60" s="1006"/>
      <c r="Z60" s="852" t="s">
        <v>2194</v>
      </c>
      <c r="AA60" s="855" t="s">
        <v>2195</v>
      </c>
      <c r="AB60" s="852" t="s">
        <v>2196</v>
      </c>
      <c r="AC60" s="852" t="s">
        <v>2195</v>
      </c>
      <c r="AD60" s="852"/>
    </row>
    <row customHeight="1" ht="9">
      <c r="A61" s="851"/>
      <c r="B61" s="905">
        <v>44</v>
      </c>
      <c r="C61" s="849"/>
      <c r="D61" s="973" t="s">
        <v>2197</v>
      </c>
      <c r="E61" s="849"/>
      <c r="F61" s="849"/>
      <c r="G61" s="849"/>
      <c r="H61" s="897"/>
      <c r="I61" s="1011" t="str">
        <f>INDEX(TEMPLATE_NUMBER_POINT_FHD,B61,MATCH(TEMPLATE_SPHERE,TEMPLATE_SPHERE_LIST_FOR_NOTE,0))</f>
        <v>7</v>
      </c>
      <c r="J61" s="1011" t="str">
        <f>INDEX(TEMPLATE_DATA_POINT_FHD,B61,MATCH(TEMPLATE_SPHERE,TEMPLATE_SPHERE_LIST_FOR_NOTE,0))</f>
        <v>Объём поднятой воды</v>
      </c>
      <c r="K61" s="1011">
        <f>INDEX(TEMPLATE_NOTE_POINT_FHD,B61,MATCH(TEMPLATE_SPHERE,TEMPLATE_SPHERE_LIST_FOR_NOTE,0))</f>
        <v>0</v>
      </c>
      <c r="L61" s="850" t="str">
        <f>IF(I61=0,"",I61)</f>
        <v>7</v>
      </c>
      <c r="M61" s="850" t="str">
        <f>IF(J61=0,"",J61)</f>
        <v>Объём поднятой воды</v>
      </c>
      <c r="N61" s="850" t="str">
        <f>IF(K61=0,"",K61)</f>
        <v/>
      </c>
      <c r="O61" s="963"/>
      <c r="P61" s="963" t="s">
        <v>94</v>
      </c>
      <c r="Q61" s="963"/>
      <c r="R61" s="963"/>
      <c r="S61" s="963"/>
      <c r="T61" s="849"/>
      <c r="U61" s="849" t="s">
        <v>2198</v>
      </c>
      <c r="V61" s="849"/>
      <c r="W61" s="849"/>
      <c r="X61" s="849"/>
      <c r="Y61" s="1006"/>
      <c r="Z61" s="852"/>
      <c r="AA61" s="855"/>
      <c r="AB61" s="852"/>
      <c r="AC61" s="852"/>
      <c r="AD61" s="852"/>
    </row>
    <row customHeight="1" ht="9">
      <c r="A62" s="851"/>
      <c r="B62" s="905">
        <v>45</v>
      </c>
      <c r="C62" s="849"/>
      <c r="D62" s="973" t="s">
        <v>2199</v>
      </c>
      <c r="E62" s="849"/>
      <c r="F62" s="849"/>
      <c r="G62" s="849"/>
      <c r="H62" s="897"/>
      <c r="I62" s="1011" t="str">
        <f>INDEX(TEMPLATE_NUMBER_POINT_FHD,B62,MATCH(TEMPLATE_SPHERE,TEMPLATE_SPHERE_LIST_FOR_NOTE,0))</f>
        <v>8</v>
      </c>
      <c r="J62" s="1011" t="str">
        <f>INDEX(TEMPLATE_DATA_POINT_FHD,B62,MATCH(TEMPLATE_SPHERE,TEMPLATE_SPHERE_LIST_FOR_NOTE,0))</f>
        <v>Объём покупной воды</v>
      </c>
      <c r="K62" s="1011">
        <f>INDEX(TEMPLATE_NOTE_POINT_FHD,B62,MATCH(TEMPLATE_SPHERE,TEMPLATE_SPHERE_LIST_FOR_NOTE,0))</f>
        <v>0</v>
      </c>
      <c r="L62" s="850" t="str">
        <f>IF(I62=0,"",I62)</f>
        <v>8</v>
      </c>
      <c r="M62" s="850" t="str">
        <f>IF(J62=0,"",J62)</f>
        <v>Объём покупной воды</v>
      </c>
      <c r="N62" s="850" t="str">
        <f>IF(K62=0,"",K62)</f>
        <v/>
      </c>
      <c r="O62" s="963"/>
      <c r="P62" s="963" t="s">
        <v>114</v>
      </c>
      <c r="Q62" s="963"/>
      <c r="R62" s="963"/>
      <c r="S62" s="963"/>
      <c r="T62" s="849"/>
      <c r="U62" s="849" t="s">
        <v>2200</v>
      </c>
      <c r="V62" s="849"/>
      <c r="W62" s="849"/>
      <c r="X62" s="849"/>
      <c r="Y62" s="1006"/>
      <c r="Z62" s="852"/>
      <c r="AA62" s="855"/>
      <c r="AB62" s="852"/>
      <c r="AC62" s="852"/>
      <c r="AD62" s="852"/>
    </row>
    <row customHeight="1" ht="18">
      <c r="A63" s="851"/>
      <c r="B63" s="905">
        <v>46</v>
      </c>
      <c r="C63" s="849"/>
      <c r="D63" s="973" t="s">
        <v>2201</v>
      </c>
      <c r="E63" s="849"/>
      <c r="F63" s="849"/>
      <c r="G63" s="849"/>
      <c r="H63" s="897"/>
      <c r="I63" s="1011" t="str">
        <f>INDEX(TEMPLATE_NUMBER_POINT_FHD,B63,MATCH(TEMPLATE_SPHERE,TEMPLATE_SPHERE_LIST_FOR_NOTE,0))</f>
        <v>9</v>
      </c>
      <c r="J63" s="1011" t="str">
        <f>INDEX(TEMPLATE_DATA_POINT_FHD,B63,MATCH(TEMPLATE_SPHERE,TEMPLATE_SPHERE_LIST_FOR_NOTE,0))</f>
        <v>Объём воды, пропущенной через очистные сооружения</v>
      </c>
      <c r="K63" s="1011">
        <f>INDEX(TEMPLATE_NOTE_POINT_FHD,B63,MATCH(TEMPLATE_SPHERE,TEMPLATE_SPHERE_LIST_FOR_NOTE,0))</f>
        <v>0</v>
      </c>
      <c r="L63" s="850" t="str">
        <f>IF(I63=0,"",I63)</f>
        <v>9</v>
      </c>
      <c r="M63" s="850" t="str">
        <f>IF(J63=0,"",J63)</f>
        <v>Объём воды, пропущенной через очистные сооружения</v>
      </c>
      <c r="N63" s="850" t="str">
        <f>IF(K63=0,"",K63)</f>
        <v/>
      </c>
      <c r="O63" s="963"/>
      <c r="P63" s="963" t="s">
        <v>150</v>
      </c>
      <c r="Q63" s="963"/>
      <c r="R63" s="963"/>
      <c r="S63" s="963"/>
      <c r="T63" s="849"/>
      <c r="U63" s="849" t="s">
        <v>2202</v>
      </c>
      <c r="V63" s="849"/>
      <c r="W63" s="849"/>
      <c r="X63" s="849"/>
      <c r="Y63" s="1006"/>
      <c r="Z63" s="852"/>
      <c r="AA63" s="855"/>
      <c r="AB63" s="852"/>
      <c r="AC63" s="852"/>
      <c r="AD63" s="852"/>
    </row>
    <row customHeight="1" ht="18">
      <c r="A64" s="851"/>
      <c r="B64" s="905">
        <v>47</v>
      </c>
      <c r="C64" s="849"/>
      <c r="D64" s="973" t="s">
        <v>2203</v>
      </c>
      <c r="E64" s="849"/>
      <c r="F64" s="849"/>
      <c r="G64" s="849"/>
      <c r="H64" s="897"/>
      <c r="I64" s="1011" t="str">
        <f>INDEX(TEMPLATE_NUMBER_POINT_FHD,B64,MATCH(TEMPLATE_SPHERE,TEMPLATE_SPHERE_LIST_FOR_NOTE,0))</f>
        <v>10</v>
      </c>
      <c r="J64" s="1011" t="str">
        <f>INDEX(TEMPLATE_DATA_POINT_FHD,B64,MATCH(TEMPLATE_SPHERE,TEMPLATE_SPHERE_LIST_FOR_NOTE,0))</f>
        <v>Объём отпущенной потребителям воды, в том числе:</v>
      </c>
      <c r="K64" s="1011" t="str">
        <f>INDEX(TEMPLATE_NOTE_POINT_FHD,B64,MATCH(TEMPLATE_SPHERE,TEMPLATE_SPHERE_LIST_FOR_NOTE,0))</f>
        <v>Указывается общий объем отпущенной потребителям воды.</v>
      </c>
      <c r="L64" s="850" t="str">
        <f>IF(I64=0,"",I64)</f>
        <v>10</v>
      </c>
      <c r="M64" s="850" t="str">
        <f>IF(J64=0,"",J64)</f>
        <v>Объём отпущенной потребителям воды, в том числе:</v>
      </c>
      <c r="N64" s="850" t="str">
        <f>IF(K64=0,"",K64)</f>
        <v>Указывается общий объем отпущенной потребителям воды.</v>
      </c>
      <c r="O64" s="963"/>
      <c r="P64" s="963" t="s">
        <v>151</v>
      </c>
      <c r="Q64" s="963"/>
      <c r="R64" s="963"/>
      <c r="S64" s="963"/>
      <c r="T64" s="849"/>
      <c r="U64" s="849" t="s">
        <v>2204</v>
      </c>
      <c r="V64" s="849"/>
      <c r="W64" s="849"/>
      <c r="X64" s="849"/>
      <c r="Y64" s="1006"/>
      <c r="Z64" s="852"/>
      <c r="AA64" s="855" t="s">
        <v>2205</v>
      </c>
      <c r="AB64" s="852"/>
      <c r="AC64" s="852"/>
      <c r="AD64" s="852"/>
    </row>
    <row customHeight="1" ht="18">
      <c r="A65" s="851"/>
      <c r="B65" s="905">
        <v>48</v>
      </c>
      <c r="C65" s="849"/>
      <c r="D65" s="973"/>
      <c r="E65" s="849"/>
      <c r="F65" s="849"/>
      <c r="G65" s="849"/>
      <c r="H65" s="897"/>
      <c r="I65" s="1011" t="str">
        <f>INDEX(TEMPLATE_NUMBER_POINT_FHD,B65,MATCH(TEMPLATE_SPHERE,TEMPLATE_SPHERE_LIST_FOR_NOTE,0))</f>
        <v>10.1</v>
      </c>
      <c r="J65" s="1011" t="str">
        <f>INDEX(TEMPLATE_DATA_POINT_FHD,B65,MATCH(TEMPLATE_SPHERE,TEMPLATE_SPHERE_LIST_FOR_NOTE,0))</f>
        <v>Объём отпущенной потребителям воды, определенный по приборам учета</v>
      </c>
      <c r="K65" s="1011">
        <f>INDEX(TEMPLATE_NOTE_POINT_FHD,B65,MATCH(TEMPLATE_SPHERE,TEMPLATE_SPHERE_LIST_FOR_NOTE,0))</f>
        <v>0</v>
      </c>
      <c r="L65" s="850" t="str">
        <f>IF(I65=0,"",I65)</f>
        <v>10.1</v>
      </c>
      <c r="M65" s="850" t="str">
        <f>IF(J65=0,"",J65)</f>
        <v>Объём отпущенной потребителям воды, определенный по приборам учета</v>
      </c>
      <c r="N65" s="850" t="str">
        <f>IF(K65=0,"",K65)</f>
        <v/>
      </c>
      <c r="O65" s="963"/>
      <c r="P65" s="963" t="s">
        <v>2118</v>
      </c>
      <c r="Q65" s="963"/>
      <c r="R65" s="963"/>
      <c r="S65" s="963"/>
      <c r="T65" s="849"/>
      <c r="U65" s="849" t="s">
        <v>2206</v>
      </c>
      <c r="V65" s="849"/>
      <c r="W65" s="849"/>
      <c r="X65" s="849"/>
      <c r="Y65" s="1006"/>
      <c r="Z65" s="852"/>
      <c r="AA65" s="855"/>
      <c r="AB65" s="852"/>
      <c r="AC65" s="852"/>
      <c r="AD65" s="852"/>
    </row>
    <row customHeight="1" ht="18">
      <c r="A66" s="851"/>
      <c r="B66" s="905">
        <v>49</v>
      </c>
      <c r="C66" s="849"/>
      <c r="D66" s="973"/>
      <c r="E66" s="849"/>
      <c r="F66" s="849"/>
      <c r="G66" s="849"/>
      <c r="H66" s="897"/>
      <c r="I66" s="1011" t="str">
        <f>INDEX(TEMPLATE_NUMBER_POINT_FHD,B66,MATCH(TEMPLATE_SPHERE,TEMPLATE_SPHERE_LIST_FOR_NOTE,0))</f>
        <v>10.2</v>
      </c>
      <c r="J66" s="1011" t="str">
        <f>INDEX(TEMPLATE_DATA_POINT_FHD,B66,MATCH(TEMPLATE_SPHERE,TEMPLATE_SPHERE_LIST_FOR_NOTE,0))</f>
        <v>Объём отпущенной потребителям воды, определенный расчетным способом</v>
      </c>
      <c r="K66" s="1011">
        <f>INDEX(TEMPLATE_NOTE_POINT_FHD,B66,MATCH(TEMPLATE_SPHERE,TEMPLATE_SPHERE_LIST_FOR_NOTE,0))</f>
        <v>0</v>
      </c>
      <c r="L66" s="850" t="str">
        <f>IF(I66=0,"",I66)</f>
        <v>10.2</v>
      </c>
      <c r="M66" s="850" t="str">
        <f>IF(J66=0,"",J66)</f>
        <v>Объём отпущенной потребителям воды, определенный расчетным способом</v>
      </c>
      <c r="N66" s="850" t="str">
        <f>IF(K66=0,"",K66)</f>
        <v/>
      </c>
      <c r="O66" s="963"/>
      <c r="P66" s="963" t="s">
        <v>2122</v>
      </c>
      <c r="Q66" s="963"/>
      <c r="R66" s="963"/>
      <c r="S66" s="963"/>
      <c r="T66" s="849"/>
      <c r="U66" s="849" t="s">
        <v>2207</v>
      </c>
      <c r="V66" s="849"/>
      <c r="W66" s="849"/>
      <c r="X66" s="849"/>
      <c r="Y66" s="1006"/>
      <c r="Z66" s="852"/>
      <c r="AA66" s="855"/>
      <c r="AB66" s="852"/>
      <c r="AC66" s="852"/>
      <c r="AD66" s="852"/>
    </row>
    <row customHeight="1" ht="27">
      <c r="A67" s="851"/>
      <c r="B67" s="905">
        <v>50</v>
      </c>
      <c r="C67" s="849"/>
      <c r="D67" s="973"/>
      <c r="E67" s="849"/>
      <c r="F67" s="849"/>
      <c r="G67" s="849"/>
      <c r="H67" s="897"/>
      <c r="I67" s="1011" t="str">
        <f>INDEX(TEMPLATE_NUMBER_POINT_FHD,B67,MATCH(TEMPLATE_SPHERE,TEMPLATE_SPHERE_LIST_FOR_NOTE,0))</f>
        <v>10.2.1</v>
      </c>
      <c r="J67" s="1011"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11">
        <f>INDEX(TEMPLATE_NOTE_POINT_FHD,B67,MATCH(TEMPLATE_SPHERE,TEMPLATE_SPHERE_LIST_FOR_NOTE,0))</f>
        <v>0</v>
      </c>
      <c r="L67" s="850" t="str">
        <f>IF(I67=0,"",I67)</f>
        <v>10.2.1</v>
      </c>
      <c r="M67" s="850" t="str">
        <f>IF(J67=0,"",J67)</f>
        <v>Объём отпущенной потребителям воды, определенный по нормативам потребления коммунальных услуг</v>
      </c>
      <c r="N67" s="850" t="str">
        <f>IF(K67=0,"",K67)</f>
        <v/>
      </c>
      <c r="O67" s="963"/>
      <c r="P67" s="963" t="s">
        <v>2208</v>
      </c>
      <c r="Q67" s="963"/>
      <c r="R67" s="963"/>
      <c r="S67" s="963"/>
      <c r="T67" s="849"/>
      <c r="U67" s="849" t="s">
        <v>2209</v>
      </c>
      <c r="V67" s="849"/>
      <c r="W67" s="849"/>
      <c r="X67" s="849"/>
      <c r="Y67" s="1006"/>
      <c r="Z67" s="852"/>
      <c r="AA67" s="855"/>
      <c r="AB67" s="852"/>
      <c r="AC67" s="852"/>
      <c r="AD67" s="852"/>
    </row>
    <row customHeight="1" ht="27">
      <c r="A68" s="851"/>
      <c r="B68" s="905">
        <v>51</v>
      </c>
      <c r="C68" s="849"/>
      <c r="D68" s="973"/>
      <c r="E68" s="849"/>
      <c r="F68" s="849"/>
      <c r="G68" s="849"/>
      <c r="H68" s="897"/>
      <c r="I68" s="1011" t="str">
        <f>INDEX(TEMPLATE_NUMBER_POINT_FHD,B68,MATCH(TEMPLATE_SPHERE,TEMPLATE_SPHERE_LIST_FOR_NOTE,0))</f>
        <v>10.2.2</v>
      </c>
      <c r="J68" s="1011"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11">
        <f>INDEX(TEMPLATE_NOTE_POINT_FHD,B68,MATCH(TEMPLATE_SPHERE,TEMPLATE_SPHERE_LIST_FOR_NOTE,0))</f>
        <v>0</v>
      </c>
      <c r="L68" s="850" t="str">
        <f>IF(I68=0,"",I68)</f>
        <v>10.2.2</v>
      </c>
      <c r="M68" s="850" t="str">
        <f>IF(J68=0,"",J68)</f>
        <v>Объём отпущенной потребителям воды, определенный по нормативам потребления коммунальных ресурсов </v>
      </c>
      <c r="N68" s="850" t="str">
        <f>IF(K68=0,"",K68)</f>
        <v/>
      </c>
      <c r="O68" s="963"/>
      <c r="P68" s="963" t="s">
        <v>2210</v>
      </c>
      <c r="Q68" s="963"/>
      <c r="R68" s="963"/>
      <c r="S68" s="963"/>
      <c r="T68" s="849"/>
      <c r="U68" s="849" t="s">
        <v>2211</v>
      </c>
      <c r="V68" s="849"/>
      <c r="W68" s="849"/>
      <c r="X68" s="849"/>
      <c r="Y68" s="1006"/>
      <c r="Z68" s="852"/>
      <c r="AA68" s="855"/>
      <c r="AB68" s="852"/>
      <c r="AC68" s="852"/>
      <c r="AD68" s="852"/>
    </row>
    <row customHeight="1" ht="9">
      <c r="A69" s="851"/>
      <c r="B69" s="905">
        <v>52</v>
      </c>
      <c r="C69" s="849"/>
      <c r="D69" s="973" t="s">
        <v>2212</v>
      </c>
      <c r="E69" s="849"/>
      <c r="F69" s="849"/>
      <c r="G69" s="849"/>
      <c r="H69" s="897"/>
      <c r="I69" s="1011" t="str">
        <f>INDEX(TEMPLATE_NUMBER_POINT_FHD,B69,MATCH(TEMPLATE_SPHERE,TEMPLATE_SPHERE_LIST_FOR_NOTE,0))</f>
        <v>11</v>
      </c>
      <c r="J69" s="1011" t="str">
        <f>INDEX(TEMPLATE_DATA_POINT_FHD,B69,MATCH(TEMPLATE_SPHERE,TEMPLATE_SPHERE_LIST_FOR_NOTE,0))</f>
        <v>Потери воды в сетях</v>
      </c>
      <c r="K69" s="1011">
        <f>INDEX(TEMPLATE_NOTE_POINT_FHD,B69,MATCH(TEMPLATE_SPHERE,TEMPLATE_SPHERE_LIST_FOR_NOTE,0))</f>
        <v>0</v>
      </c>
      <c r="L69" s="850" t="str">
        <f>IF(I69=0,"",I69)</f>
        <v>11</v>
      </c>
      <c r="M69" s="850" t="str">
        <f>IF(J69=0,"",J69)</f>
        <v>Потери воды в сетях</v>
      </c>
      <c r="N69" s="850" t="str">
        <f>IF(K69=0,"",K69)</f>
        <v/>
      </c>
      <c r="O69" s="963"/>
      <c r="P69" s="963" t="s">
        <v>152</v>
      </c>
      <c r="Q69" s="963"/>
      <c r="R69" s="963"/>
      <c r="S69" s="963"/>
      <c r="T69" s="849"/>
      <c r="U69" s="849" t="s">
        <v>2213</v>
      </c>
      <c r="V69" s="849"/>
      <c r="W69" s="849"/>
      <c r="X69" s="849"/>
      <c r="Y69" s="1006"/>
      <c r="Z69" s="852"/>
      <c r="AA69" s="855"/>
      <c r="AB69" s="852"/>
      <c r="AC69" s="852"/>
      <c r="AD69" s="852"/>
    </row>
    <row customHeight="1" ht="27">
      <c r="A70" s="851"/>
      <c r="B70" s="905">
        <v>53</v>
      </c>
      <c r="C70" s="849"/>
      <c r="D70" s="973"/>
      <c r="E70" s="849" t="s">
        <v>2197</v>
      </c>
      <c r="F70" s="849"/>
      <c r="G70" s="849"/>
      <c r="H70" s="897"/>
      <c r="I70" s="1011">
        <f>INDEX(TEMPLATE_NUMBER_POINT_FHD,B70,MATCH(TEMPLATE_SPHERE,TEMPLATE_SPHERE_LIST_FOR_NOTE,0))</f>
        <v>0</v>
      </c>
      <c r="J70" s="1011">
        <f>INDEX(TEMPLATE_DATA_POINT_FHD,B70,MATCH(TEMPLATE_SPHERE,TEMPLATE_SPHERE_LIST_FOR_NOTE,0))</f>
        <v>0</v>
      </c>
      <c r="K70" s="1011">
        <f>INDEX(TEMPLATE_NOTE_POINT_FHD,B70,MATCH(TEMPLATE_SPHERE,TEMPLATE_SPHERE_LIST_FOR_NOTE,0))</f>
        <v>0</v>
      </c>
      <c r="L70" s="850" t="str">
        <f>IF(I70=0,"",I70)</f>
        <v/>
      </c>
      <c r="M70" s="850" t="str">
        <f>IF(J70=0,"",J70)</f>
        <v/>
      </c>
      <c r="N70" s="850" t="str">
        <f>IF(K70=0,"",K70)</f>
        <v/>
      </c>
      <c r="O70" s="963"/>
      <c r="P70" s="963"/>
      <c r="Q70" s="963" t="s">
        <v>94</v>
      </c>
      <c r="R70" s="963"/>
      <c r="S70" s="963"/>
      <c r="T70" s="849"/>
      <c r="U70" s="849"/>
      <c r="V70" s="849" t="s">
        <v>2214</v>
      </c>
      <c r="W70" s="849"/>
      <c r="X70" s="849"/>
      <c r="Y70" s="1006"/>
      <c r="Z70" s="852"/>
      <c r="AA70" s="855"/>
      <c r="AB70" s="852"/>
      <c r="AC70" s="852"/>
      <c r="AD70" s="852"/>
    </row>
    <row customHeight="1" ht="36">
      <c r="A71" s="851"/>
      <c r="B71" s="905">
        <v>54</v>
      </c>
      <c r="C71" s="849"/>
      <c r="D71" s="973"/>
      <c r="E71" s="849" t="s">
        <v>2199</v>
      </c>
      <c r="F71" s="849"/>
      <c r="G71" s="849"/>
      <c r="H71" s="897"/>
      <c r="I71" s="1011">
        <f>INDEX(TEMPLATE_NUMBER_POINT_FHD,B71,MATCH(TEMPLATE_SPHERE,TEMPLATE_SPHERE_LIST_FOR_NOTE,0))</f>
        <v>0</v>
      </c>
      <c r="J71" s="1011">
        <f>INDEX(TEMPLATE_DATA_POINT_FHD,B71,MATCH(TEMPLATE_SPHERE,TEMPLATE_SPHERE_LIST_FOR_NOTE,0))</f>
        <v>0</v>
      </c>
      <c r="K71" s="1011">
        <f>INDEX(TEMPLATE_NOTE_POINT_FHD,B71,MATCH(TEMPLATE_SPHERE,TEMPLATE_SPHERE_LIST_FOR_NOTE,0))</f>
        <v>0</v>
      </c>
      <c r="L71" s="850" t="str">
        <f>IF(I71=0,"",I71)</f>
        <v/>
      </c>
      <c r="M71" s="850" t="str">
        <f>IF(J71=0,"",J71)</f>
        <v/>
      </c>
      <c r="N71" s="850" t="str">
        <f>IF(K71=0,"",K71)</f>
        <v/>
      </c>
      <c r="O71" s="963"/>
      <c r="P71" s="963"/>
      <c r="Q71" s="963" t="s">
        <v>114</v>
      </c>
      <c r="R71" s="963"/>
      <c r="S71" s="963"/>
      <c r="T71" s="849"/>
      <c r="U71" s="849"/>
      <c r="V71" s="849" t="s">
        <v>2215</v>
      </c>
      <c r="W71" s="849"/>
      <c r="X71" s="849"/>
      <c r="Y71" s="1006"/>
      <c r="Z71" s="852"/>
      <c r="AA71" s="855"/>
      <c r="AB71" s="852"/>
      <c r="AC71" s="852"/>
      <c r="AD71" s="852"/>
    </row>
    <row customHeight="1" ht="27">
      <c r="A72" s="851"/>
      <c r="B72" s="905">
        <v>55</v>
      </c>
      <c r="C72" s="849"/>
      <c r="D72" s="973"/>
      <c r="E72" s="849" t="s">
        <v>2201</v>
      </c>
      <c r="F72" s="849"/>
      <c r="G72" s="849"/>
      <c r="H72" s="897"/>
      <c r="I72" s="1011">
        <f>INDEX(TEMPLATE_NUMBER_POINT_FHD,B72,MATCH(TEMPLATE_SPHERE,TEMPLATE_SPHERE_LIST_FOR_NOTE,0))</f>
        <v>0</v>
      </c>
      <c r="J72" s="1011">
        <f>INDEX(TEMPLATE_DATA_POINT_FHD,B72,MATCH(TEMPLATE_SPHERE,TEMPLATE_SPHERE_LIST_FOR_NOTE,0))</f>
        <v>0</v>
      </c>
      <c r="K72" s="1011">
        <f>INDEX(TEMPLATE_NOTE_POINT_FHD,B72,MATCH(TEMPLATE_SPHERE,TEMPLATE_SPHERE_LIST_FOR_NOTE,0))</f>
        <v>0</v>
      </c>
      <c r="L72" s="850" t="str">
        <f>IF(I72=0,"",I72)</f>
        <v/>
      </c>
      <c r="M72" s="850" t="str">
        <f>IF(J72=0,"",J72)</f>
        <v/>
      </c>
      <c r="N72" s="850" t="str">
        <f>IF(K72=0,"",K72)</f>
        <v/>
      </c>
      <c r="O72" s="963"/>
      <c r="P72" s="963"/>
      <c r="Q72" s="963" t="s">
        <v>150</v>
      </c>
      <c r="R72" s="963"/>
      <c r="S72" s="963"/>
      <c r="T72" s="849"/>
      <c r="U72" s="849"/>
      <c r="V72" s="849" t="s">
        <v>2216</v>
      </c>
      <c r="W72" s="849"/>
      <c r="X72" s="849"/>
      <c r="Y72" s="1006"/>
      <c r="Z72" s="852"/>
      <c r="AA72" s="855"/>
      <c r="AB72" s="852"/>
      <c r="AC72" s="852"/>
      <c r="AD72" s="852"/>
    </row>
    <row customHeight="1" ht="36">
      <c r="A73" s="851"/>
      <c r="B73" s="905">
        <v>56</v>
      </c>
      <c r="C73" s="849"/>
      <c r="D73" s="973"/>
      <c r="E73" s="849" t="s">
        <v>2203</v>
      </c>
      <c r="F73" s="849"/>
      <c r="G73" s="849"/>
      <c r="H73" s="897"/>
      <c r="I73" s="1011">
        <f>INDEX(TEMPLATE_NUMBER_POINT_FHD,B73,MATCH(TEMPLATE_SPHERE,TEMPLATE_SPHERE_LIST_FOR_NOTE,0))</f>
        <v>0</v>
      </c>
      <c r="J73" s="1011">
        <f>INDEX(TEMPLATE_DATA_POINT_FHD,B73,MATCH(TEMPLATE_SPHERE,TEMPLATE_SPHERE_LIST_FOR_NOTE,0))</f>
        <v>0</v>
      </c>
      <c r="K73" s="1011">
        <f>INDEX(TEMPLATE_NOTE_POINT_FHD,B73,MATCH(TEMPLATE_SPHERE,TEMPLATE_SPHERE_LIST_FOR_NOTE,0))</f>
        <v>0</v>
      </c>
      <c r="L73" s="850" t="str">
        <f>IF(I73=0,"",I73)</f>
        <v/>
      </c>
      <c r="M73" s="850" t="str">
        <f>IF(J73=0,"",J73)</f>
        <v/>
      </c>
      <c r="N73" s="850" t="str">
        <f>IF(K73=0,"",K73)</f>
        <v/>
      </c>
      <c r="O73" s="963"/>
      <c r="P73" s="963"/>
      <c r="Q73" s="963" t="s">
        <v>151</v>
      </c>
      <c r="R73" s="963"/>
      <c r="S73" s="963"/>
      <c r="T73" s="849"/>
      <c r="U73" s="849"/>
      <c r="V73" s="849" t="s">
        <v>2217</v>
      </c>
      <c r="W73" s="849"/>
      <c r="X73" s="849"/>
      <c r="Y73" s="1006"/>
      <c r="Z73" s="852"/>
      <c r="AA73" s="855"/>
      <c r="AB73" s="852"/>
      <c r="AC73" s="852"/>
      <c r="AD73" s="852"/>
    </row>
    <row customHeight="1" ht="18">
      <c r="A74" s="851"/>
      <c r="B74" s="905">
        <v>57</v>
      </c>
      <c r="C74" s="849"/>
      <c r="D74" s="973"/>
      <c r="E74" s="849" t="s">
        <v>2212</v>
      </c>
      <c r="F74" s="849"/>
      <c r="G74" s="849"/>
      <c r="H74" s="897"/>
      <c r="I74" s="1011">
        <f>INDEX(TEMPLATE_NUMBER_POINT_FHD,B74,MATCH(TEMPLATE_SPHERE,TEMPLATE_SPHERE_LIST_FOR_NOTE,0))</f>
        <v>0</v>
      </c>
      <c r="J74" s="1011">
        <f>INDEX(TEMPLATE_DATA_POINT_FHD,B74,MATCH(TEMPLATE_SPHERE,TEMPLATE_SPHERE_LIST_FOR_NOTE,0))</f>
        <v>0</v>
      </c>
      <c r="K74" s="1011">
        <f>INDEX(TEMPLATE_NOTE_POINT_FHD,B74,MATCH(TEMPLATE_SPHERE,TEMPLATE_SPHERE_LIST_FOR_NOTE,0))</f>
        <v>0</v>
      </c>
      <c r="L74" s="850" t="str">
        <f>IF(I74=0,"",I74)</f>
        <v/>
      </c>
      <c r="M74" s="850" t="str">
        <f>IF(J74=0,"",J74)</f>
        <v/>
      </c>
      <c r="N74" s="850" t="str">
        <f>IF(K74=0,"",K74)</f>
        <v/>
      </c>
      <c r="O74" s="963"/>
      <c r="P74" s="963"/>
      <c r="Q74" s="963" t="s">
        <v>152</v>
      </c>
      <c r="R74" s="963"/>
      <c r="S74" s="963"/>
      <c r="T74" s="849"/>
      <c r="U74" s="849"/>
      <c r="V74" s="849" t="s">
        <v>2218</v>
      </c>
      <c r="W74" s="849"/>
      <c r="X74" s="849"/>
      <c r="Y74" s="1006"/>
      <c r="Z74" s="852"/>
      <c r="AA74" s="855"/>
      <c r="AB74" s="852"/>
      <c r="AC74" s="852"/>
      <c r="AD74" s="852"/>
    </row>
    <row customHeight="1" ht="18">
      <c r="A75" s="851"/>
      <c r="B75" s="905">
        <v>58</v>
      </c>
      <c r="C75" s="849"/>
      <c r="D75" s="973"/>
      <c r="E75" s="849"/>
      <c r="F75" s="849" t="s">
        <v>2197</v>
      </c>
      <c r="G75" s="849"/>
      <c r="H75" s="897"/>
      <c r="I75" s="1011">
        <f>INDEX(TEMPLATE_NUMBER_POINT_FHD,B75,MATCH(TEMPLATE_SPHERE,TEMPLATE_SPHERE_LIST_FOR_NOTE,0))</f>
        <v>0</v>
      </c>
      <c r="J75" s="1011">
        <f>INDEX(TEMPLATE_DATA_POINT_FHD,B75,MATCH(TEMPLATE_SPHERE,TEMPLATE_SPHERE_LIST_FOR_NOTE,0))</f>
        <v>0</v>
      </c>
      <c r="K75" s="1011">
        <f>INDEX(TEMPLATE_NOTE_POINT_FHD,B75,MATCH(TEMPLATE_SPHERE,TEMPLATE_SPHERE_LIST_FOR_NOTE,0))</f>
        <v>0</v>
      </c>
      <c r="L75" s="850" t="str">
        <f>IF(I75=0,"",I75)</f>
        <v/>
      </c>
      <c r="M75" s="850" t="str">
        <f>IF(J75=0,"",J75)</f>
        <v/>
      </c>
      <c r="N75" s="850" t="str">
        <f>IF(K75=0,"",K75)</f>
        <v/>
      </c>
      <c r="O75" s="963"/>
      <c r="P75" s="963"/>
      <c r="Q75" s="963"/>
      <c r="R75" s="963" t="s">
        <v>94</v>
      </c>
      <c r="S75" s="963"/>
      <c r="T75" s="849"/>
      <c r="U75" s="849"/>
      <c r="V75" s="849"/>
      <c r="W75" s="849" t="s">
        <v>2219</v>
      </c>
      <c r="X75" s="849"/>
      <c r="Y75" s="1006"/>
      <c r="Z75" s="852"/>
      <c r="AA75" s="855"/>
      <c r="AB75" s="852"/>
      <c r="AC75" s="852"/>
      <c r="AD75" s="852"/>
    </row>
    <row customHeight="1" ht="36">
      <c r="A76" s="851"/>
      <c r="B76" s="905">
        <v>59</v>
      </c>
      <c r="C76" s="849"/>
      <c r="D76" s="973"/>
      <c r="E76" s="849"/>
      <c r="F76" s="849" t="s">
        <v>2199</v>
      </c>
      <c r="G76" s="849"/>
      <c r="H76" s="897"/>
      <c r="I76" s="1011">
        <f>INDEX(TEMPLATE_NUMBER_POINT_FHD,B76,MATCH(TEMPLATE_SPHERE,TEMPLATE_SPHERE_LIST_FOR_NOTE,0))</f>
        <v>0</v>
      </c>
      <c r="J76" s="1011">
        <f>INDEX(TEMPLATE_DATA_POINT_FHD,B76,MATCH(TEMPLATE_SPHERE,TEMPLATE_SPHERE_LIST_FOR_NOTE,0))</f>
        <v>0</v>
      </c>
      <c r="K76" s="1011">
        <f>INDEX(TEMPLATE_NOTE_POINT_FHD,B76,MATCH(TEMPLATE_SPHERE,TEMPLATE_SPHERE_LIST_FOR_NOTE,0))</f>
        <v>0</v>
      </c>
      <c r="L76" s="850" t="str">
        <f>IF(I76=0,"",I76)</f>
        <v/>
      </c>
      <c r="M76" s="850" t="str">
        <f>IF(J76=0,"",J76)</f>
        <v/>
      </c>
      <c r="N76" s="850" t="str">
        <f>IF(K76=0,"",K76)</f>
        <v/>
      </c>
      <c r="O76" s="963"/>
      <c r="P76" s="963"/>
      <c r="Q76" s="963"/>
      <c r="R76" s="963" t="s">
        <v>114</v>
      </c>
      <c r="S76" s="963"/>
      <c r="T76" s="849"/>
      <c r="U76" s="849"/>
      <c r="V76" s="849"/>
      <c r="W76" s="849" t="s">
        <v>2220</v>
      </c>
      <c r="X76" s="849"/>
      <c r="Y76" s="1006"/>
      <c r="Z76" s="852"/>
      <c r="AA76" s="855"/>
      <c r="AB76" s="852"/>
      <c r="AC76" s="852"/>
      <c r="AD76" s="852"/>
    </row>
    <row customHeight="1" ht="18">
      <c r="A77" s="851"/>
      <c r="B77" s="905">
        <v>60</v>
      </c>
      <c r="C77" s="849"/>
      <c r="D77" s="973"/>
      <c r="E77" s="849"/>
      <c r="F77" s="849" t="s">
        <v>2201</v>
      </c>
      <c r="G77" s="849"/>
      <c r="H77" s="897"/>
      <c r="I77" s="1011">
        <f>INDEX(TEMPLATE_NUMBER_POINT_FHD,B77,MATCH(TEMPLATE_SPHERE,TEMPLATE_SPHERE_LIST_FOR_NOTE,0))</f>
        <v>0</v>
      </c>
      <c r="J77" s="1011">
        <f>INDEX(TEMPLATE_DATA_POINT_FHD,B77,MATCH(TEMPLATE_SPHERE,TEMPLATE_SPHERE_LIST_FOR_NOTE,0))</f>
        <v>0</v>
      </c>
      <c r="K77" s="1011">
        <f>INDEX(TEMPLATE_NOTE_POINT_FHD,B77,MATCH(TEMPLATE_SPHERE,TEMPLATE_SPHERE_LIST_FOR_NOTE,0))</f>
        <v>0</v>
      </c>
      <c r="L77" s="850" t="str">
        <f>IF(I77=0,"",I77)</f>
        <v/>
      </c>
      <c r="M77" s="850" t="str">
        <f>IF(J77=0,"",J77)</f>
        <v/>
      </c>
      <c r="N77" s="850" t="str">
        <f>IF(K77=0,"",K77)</f>
        <v/>
      </c>
      <c r="O77" s="963"/>
      <c r="P77" s="963"/>
      <c r="Q77" s="963"/>
      <c r="R77" s="963" t="s">
        <v>150</v>
      </c>
      <c r="S77" s="963"/>
      <c r="T77" s="849"/>
      <c r="U77" s="849"/>
      <c r="V77" s="849"/>
      <c r="W77" s="849" t="s">
        <v>2221</v>
      </c>
      <c r="X77" s="849"/>
      <c r="Y77" s="1006"/>
      <c r="Z77" s="852"/>
      <c r="AA77" s="855"/>
      <c r="AB77" s="852"/>
      <c r="AC77" s="852"/>
      <c r="AD77" s="852"/>
    </row>
    <row customHeight="1" ht="72">
      <c r="A78" s="851"/>
      <c r="B78" s="905">
        <v>61</v>
      </c>
      <c r="C78" s="849" t="s">
        <v>2197</v>
      </c>
      <c r="D78" s="973"/>
      <c r="E78" s="849"/>
      <c r="F78" s="849"/>
      <c r="G78" s="849"/>
      <c r="H78" s="897"/>
      <c r="I78" s="1011">
        <f>INDEX(TEMPLATE_NUMBER_POINT_FHD,B78,MATCH(TEMPLATE_SPHERE,TEMPLATE_SPHERE_LIST_FOR_NOTE,0))</f>
        <v>0</v>
      </c>
      <c r="J78" s="1011">
        <f>INDEX(TEMPLATE_DATA_POINT_FHD,B78,MATCH(TEMPLATE_SPHERE,TEMPLATE_SPHERE_LIST_FOR_NOTE,0))</f>
        <v>0</v>
      </c>
      <c r="K78" s="1011">
        <f>INDEX(TEMPLATE_NOTE_POINT_FHD,B78,MATCH(TEMPLATE_SPHERE,TEMPLATE_SPHERE_LIST_FOR_NOTE,0))</f>
        <v>0</v>
      </c>
      <c r="L78" s="850" t="str">
        <f>IF(I78=0,"",I78)</f>
        <v/>
      </c>
      <c r="M78" s="850" t="str">
        <f>IF(J78=0,"",J78)</f>
        <v/>
      </c>
      <c r="N78" s="850" t="str">
        <f>IF(K78=0,"",K78)</f>
        <v/>
      </c>
      <c r="O78" s="963" t="s">
        <v>94</v>
      </c>
      <c r="P78" s="963"/>
      <c r="Q78" s="963"/>
      <c r="R78" s="963"/>
      <c r="S78" s="963"/>
      <c r="T78" s="849" t="s">
        <v>671</v>
      </c>
      <c r="U78" s="849"/>
      <c r="V78" s="849"/>
      <c r="W78" s="849"/>
      <c r="X78" s="849"/>
      <c r="Y78" s="1006"/>
      <c r="Z78" s="852" t="s">
        <v>2222</v>
      </c>
      <c r="AA78" s="855"/>
      <c r="AB78" s="852"/>
      <c r="AC78" s="852"/>
      <c r="AD78" s="852"/>
    </row>
    <row customHeight="1" ht="36">
      <c r="A79" s="851"/>
      <c r="B79" s="905">
        <v>62</v>
      </c>
      <c r="C79" s="849" t="s">
        <v>2199</v>
      </c>
      <c r="D79" s="973"/>
      <c r="E79" s="849"/>
      <c r="F79" s="849"/>
      <c r="G79" s="849"/>
      <c r="H79" s="897"/>
      <c r="I79" s="1011">
        <f>INDEX(TEMPLATE_NUMBER_POINT_FHD,B79,MATCH(TEMPLATE_SPHERE,TEMPLATE_SPHERE_LIST_FOR_NOTE,0))</f>
        <v>0</v>
      </c>
      <c r="J79" s="1011">
        <f>INDEX(TEMPLATE_DATA_POINT_FHD,B79,MATCH(TEMPLATE_SPHERE,TEMPLATE_SPHERE_LIST_FOR_NOTE,0))</f>
        <v>0</v>
      </c>
      <c r="K79" s="1011">
        <f>INDEX(TEMPLATE_NOTE_POINT_FHD,B79,MATCH(TEMPLATE_SPHERE,TEMPLATE_SPHERE_LIST_FOR_NOTE,0))</f>
        <v>0</v>
      </c>
      <c r="L79" s="850" t="str">
        <f>IF(I79=0,"",I79)</f>
        <v/>
      </c>
      <c r="M79" s="850" t="str">
        <f>IF(J79=0,"",J79)</f>
        <v/>
      </c>
      <c r="N79" s="850" t="str">
        <f>IF(K79=0,"",K79)</f>
        <v/>
      </c>
      <c r="O79" s="963" t="s">
        <v>114</v>
      </c>
      <c r="P79" s="963"/>
      <c r="Q79" s="963"/>
      <c r="R79" s="963"/>
      <c r="S79" s="963"/>
      <c r="T79" s="849" t="s">
        <v>2223</v>
      </c>
      <c r="U79" s="849"/>
      <c r="V79" s="849"/>
      <c r="W79" s="849"/>
      <c r="X79" s="849"/>
      <c r="Y79" s="1006"/>
      <c r="Z79" s="852" t="s">
        <v>2224</v>
      </c>
      <c r="AA79" s="855"/>
      <c r="AB79" s="852"/>
      <c r="AC79" s="852"/>
      <c r="AD79" s="852"/>
    </row>
    <row customHeight="1" ht="45">
      <c r="A80" s="851"/>
      <c r="B80" s="905">
        <v>63</v>
      </c>
      <c r="C80" s="849" t="s">
        <v>2201</v>
      </c>
      <c r="D80" s="973"/>
      <c r="E80" s="849"/>
      <c r="F80" s="849"/>
      <c r="G80" s="849"/>
      <c r="H80" s="897"/>
      <c r="I80" s="1011">
        <f>INDEX(TEMPLATE_NUMBER_POINT_FHD,B80,MATCH(TEMPLATE_SPHERE,TEMPLATE_SPHERE_LIST_FOR_NOTE,0))</f>
        <v>0</v>
      </c>
      <c r="J80" s="1011">
        <f>INDEX(TEMPLATE_DATA_POINT_FHD,B80,MATCH(TEMPLATE_SPHERE,TEMPLATE_SPHERE_LIST_FOR_NOTE,0))</f>
        <v>0</v>
      </c>
      <c r="K80" s="1011">
        <f>INDEX(TEMPLATE_NOTE_POINT_FHD,B80,MATCH(TEMPLATE_SPHERE,TEMPLATE_SPHERE_LIST_FOR_NOTE,0))</f>
        <v>0</v>
      </c>
      <c r="L80" s="850" t="str">
        <f>IF(I80=0,"",I80)</f>
        <v/>
      </c>
      <c r="M80" s="850" t="str">
        <f>IF(J80=0,"",J80)</f>
        <v/>
      </c>
      <c r="N80" s="850" t="str">
        <f>IF(K80=0,"",K80)</f>
        <v/>
      </c>
      <c r="O80" s="963" t="s">
        <v>150</v>
      </c>
      <c r="P80" s="963"/>
      <c r="Q80" s="963"/>
      <c r="R80" s="963"/>
      <c r="S80" s="963"/>
      <c r="T80" s="849" t="s">
        <v>2225</v>
      </c>
      <c r="U80" s="849"/>
      <c r="V80" s="849"/>
      <c r="W80" s="849"/>
      <c r="X80" s="849"/>
      <c r="Y80" s="1006"/>
      <c r="Z80" s="852" t="s">
        <v>2226</v>
      </c>
      <c r="AA80" s="855"/>
      <c r="AB80" s="852"/>
      <c r="AC80" s="852"/>
      <c r="AD80" s="852"/>
    </row>
    <row customHeight="1" ht="36">
      <c r="A81" s="851"/>
      <c r="B81" s="905">
        <v>64</v>
      </c>
      <c r="C81" s="849" t="s">
        <v>2203</v>
      </c>
      <c r="D81" s="973"/>
      <c r="E81" s="849"/>
      <c r="F81" s="849"/>
      <c r="G81" s="849"/>
      <c r="H81" s="897"/>
      <c r="I81" s="1011">
        <f>INDEX(TEMPLATE_NUMBER_POINT_FHD,B81,MATCH(TEMPLATE_SPHERE,TEMPLATE_SPHERE_LIST_FOR_NOTE,0))</f>
        <v>0</v>
      </c>
      <c r="J81" s="1011">
        <f>INDEX(TEMPLATE_DATA_POINT_FHD,B81,MATCH(TEMPLATE_SPHERE,TEMPLATE_SPHERE_LIST_FOR_NOTE,0))</f>
        <v>0</v>
      </c>
      <c r="K81" s="1011">
        <f>INDEX(TEMPLATE_NOTE_POINT_FHD,B81,MATCH(TEMPLATE_SPHERE,TEMPLATE_SPHERE_LIST_FOR_NOTE,0))</f>
        <v>0</v>
      </c>
      <c r="L81" s="850" t="str">
        <f>IF(I81=0,"",I81)</f>
        <v/>
      </c>
      <c r="M81" s="850" t="str">
        <f>IF(J81=0,"",J81)</f>
        <v/>
      </c>
      <c r="N81" s="850" t="str">
        <f>IF(K81=0,"",K81)</f>
        <v/>
      </c>
      <c r="O81" s="963" t="s">
        <v>2109</v>
      </c>
      <c r="P81" s="963"/>
      <c r="Q81" s="963"/>
      <c r="R81" s="963"/>
      <c r="S81" s="963"/>
      <c r="T81" s="849" t="s">
        <v>2227</v>
      </c>
      <c r="U81" s="849"/>
      <c r="V81" s="849"/>
      <c r="W81" s="849"/>
      <c r="X81" s="849"/>
      <c r="Y81" s="1006"/>
      <c r="Z81" s="852" t="s">
        <v>2228</v>
      </c>
      <c r="AA81" s="855"/>
      <c r="AB81" s="852"/>
      <c r="AC81" s="852"/>
      <c r="AD81" s="852"/>
    </row>
    <row customHeight="1" ht="90">
      <c r="A82" s="851"/>
      <c r="B82" s="905">
        <v>65</v>
      </c>
      <c r="C82" s="849" t="s">
        <v>2212</v>
      </c>
      <c r="D82" s="973"/>
      <c r="E82" s="849"/>
      <c r="F82" s="849"/>
      <c r="G82" s="849"/>
      <c r="H82" s="897"/>
      <c r="I82" s="1011">
        <f>INDEX(TEMPLATE_NUMBER_POINT_FHD,B82,MATCH(TEMPLATE_SPHERE,TEMPLATE_SPHERE_LIST_FOR_NOTE,0))</f>
        <v>0</v>
      </c>
      <c r="J82" s="1011">
        <f>INDEX(TEMPLATE_DATA_POINT_FHD,B82,MATCH(TEMPLATE_SPHERE,TEMPLATE_SPHERE_LIST_FOR_NOTE,0))</f>
        <v>0</v>
      </c>
      <c r="K82" s="1011">
        <f>INDEX(TEMPLATE_NOTE_POINT_FHD,B82,MATCH(TEMPLATE_SPHERE,TEMPLATE_SPHERE_LIST_FOR_NOTE,0))</f>
        <v>0</v>
      </c>
      <c r="L82" s="850" t="str">
        <f>IF(I82=0,"",I82)</f>
        <v/>
      </c>
      <c r="M82" s="850" t="str">
        <f>IF(J82=0,"",J82)</f>
        <v/>
      </c>
      <c r="N82" s="850" t="str">
        <f>IF(K82=0,"",K82)</f>
        <v/>
      </c>
      <c r="O82" s="963" t="s">
        <v>151</v>
      </c>
      <c r="P82" s="963"/>
      <c r="Q82" s="963"/>
      <c r="R82" s="963"/>
      <c r="S82" s="963"/>
      <c r="T82" s="849" t="s">
        <v>2229</v>
      </c>
      <c r="U82" s="849"/>
      <c r="V82" s="849"/>
      <c r="W82" s="849"/>
      <c r="X82" s="849"/>
      <c r="Y82" s="1006"/>
      <c r="Z82" s="852" t="s">
        <v>2230</v>
      </c>
      <c r="AA82" s="855"/>
      <c r="AB82" s="852"/>
      <c r="AC82" s="852"/>
      <c r="AD82" s="852"/>
    </row>
    <row customHeight="1" ht="9">
      <c r="A83" s="851"/>
      <c r="B83" s="905">
        <v>66</v>
      </c>
      <c r="C83" s="849"/>
      <c r="D83" s="973"/>
      <c r="E83" s="849"/>
      <c r="F83" s="849"/>
      <c r="G83" s="849"/>
      <c r="H83" s="897"/>
      <c r="I83" s="1011">
        <f>INDEX(TEMPLATE_NUMBER_POINT_FHD,B83,MATCH(TEMPLATE_SPHERE,TEMPLATE_SPHERE_LIST_FOR_NOTE,0))</f>
        <v>0</v>
      </c>
      <c r="J83" s="1011">
        <f>INDEX(TEMPLATE_DATA_POINT_FHD,B83,MATCH(TEMPLATE_SPHERE,TEMPLATE_SPHERE_LIST_FOR_NOTE,0))</f>
        <v>0</v>
      </c>
      <c r="K83" s="1011">
        <f>INDEX(TEMPLATE_NOTE_POINT_FHD,B83,MATCH(TEMPLATE_SPHERE,TEMPLATE_SPHERE_LIST_FOR_NOTE,0))</f>
        <v>0</v>
      </c>
      <c r="L83" s="850" t="str">
        <f>IF(I83=0,"",I83)</f>
        <v/>
      </c>
      <c r="M83" s="850" t="str">
        <f>IF(J83=0,"",J83)</f>
        <v/>
      </c>
      <c r="N83" s="850" t="str">
        <f>IF(K83=0,"",K83)</f>
        <v/>
      </c>
      <c r="O83" s="963" t="s">
        <v>2118</v>
      </c>
      <c r="P83" s="963"/>
      <c r="Q83" s="963"/>
      <c r="R83" s="963"/>
      <c r="S83" s="963"/>
      <c r="T83" s="849" t="s">
        <v>2231</v>
      </c>
      <c r="U83" s="849"/>
      <c r="V83" s="849"/>
      <c r="W83" s="849"/>
      <c r="X83" s="849"/>
      <c r="Y83" s="1006"/>
      <c r="Z83" s="852"/>
      <c r="AA83" s="855"/>
      <c r="AB83" s="852"/>
      <c r="AC83" s="852"/>
      <c r="AD83" s="852"/>
    </row>
    <row customHeight="1" ht="54">
      <c r="A84" s="851"/>
      <c r="B84" s="905">
        <v>67</v>
      </c>
      <c r="C84" s="849"/>
      <c r="D84" s="973"/>
      <c r="E84" s="849"/>
      <c r="F84" s="849"/>
      <c r="G84" s="849"/>
      <c r="H84" s="897"/>
      <c r="I84" s="1011">
        <f>INDEX(TEMPLATE_NUMBER_POINT_FHD,B84,MATCH(TEMPLATE_SPHERE,TEMPLATE_SPHERE_LIST_FOR_NOTE,0))</f>
        <v>0</v>
      </c>
      <c r="J84" s="1011">
        <f>INDEX(TEMPLATE_DATA_POINT_FHD,B84,MATCH(TEMPLATE_SPHERE,TEMPLATE_SPHERE_LIST_FOR_NOTE,0))</f>
        <v>0</v>
      </c>
      <c r="K84" s="1011">
        <f>INDEX(TEMPLATE_NOTE_POINT_FHD,B84,MATCH(TEMPLATE_SPHERE,TEMPLATE_SPHERE_LIST_FOR_NOTE,0))</f>
        <v>0</v>
      </c>
      <c r="L84" s="850" t="str">
        <f>IF(I84=0,"",I84)</f>
        <v/>
      </c>
      <c r="M84" s="850" t="str">
        <f>IF(J84=0,"",J84)</f>
        <v/>
      </c>
      <c r="N84" s="850" t="str">
        <f>IF(K84=0,"",K84)</f>
        <v/>
      </c>
      <c r="O84" s="963" t="s">
        <v>2232</v>
      </c>
      <c r="P84" s="963"/>
      <c r="Q84" s="963"/>
      <c r="R84" s="963"/>
      <c r="S84" s="963"/>
      <c r="T84" s="849" t="s">
        <v>2233</v>
      </c>
      <c r="U84" s="849"/>
      <c r="V84" s="849"/>
      <c r="W84" s="849"/>
      <c r="X84" s="849"/>
      <c r="Y84" s="1006"/>
      <c r="Z84" s="852"/>
      <c r="AA84" s="855"/>
      <c r="AB84" s="852"/>
      <c r="AC84" s="852"/>
      <c r="AD84" s="852"/>
    </row>
    <row customHeight="1" ht="9">
      <c r="A85" s="851"/>
      <c r="B85" s="905">
        <v>68</v>
      </c>
      <c r="C85" s="849"/>
      <c r="D85" s="973"/>
      <c r="E85" s="849"/>
      <c r="F85" s="849"/>
      <c r="G85" s="849"/>
      <c r="H85" s="897"/>
      <c r="I85" s="1011">
        <f>INDEX(TEMPLATE_NUMBER_POINT_FHD,B85,MATCH(TEMPLATE_SPHERE,TEMPLATE_SPHERE_LIST_FOR_NOTE,0))</f>
        <v>0</v>
      </c>
      <c r="J85" s="1011">
        <f>INDEX(TEMPLATE_DATA_POINT_FHD,B85,MATCH(TEMPLATE_SPHERE,TEMPLATE_SPHERE_LIST_FOR_NOTE,0))</f>
        <v>0</v>
      </c>
      <c r="K85" s="1011">
        <f>INDEX(TEMPLATE_NOTE_POINT_FHD,B85,MATCH(TEMPLATE_SPHERE,TEMPLATE_SPHERE_LIST_FOR_NOTE,0))</f>
        <v>0</v>
      </c>
      <c r="L85" s="850" t="str">
        <f>IF(I85=0,"",I85)</f>
        <v/>
      </c>
      <c r="M85" s="850" t="str">
        <f>IF(J85=0,"",J85)</f>
        <v/>
      </c>
      <c r="N85" s="850" t="str">
        <f>IF(K85=0,"",K85)</f>
        <v/>
      </c>
      <c r="O85" s="963" t="s">
        <v>2122</v>
      </c>
      <c r="P85" s="963"/>
      <c r="Q85" s="963"/>
      <c r="R85" s="963"/>
      <c r="S85" s="963"/>
      <c r="T85" s="849" t="s">
        <v>2234</v>
      </c>
      <c r="U85" s="849"/>
      <c r="V85" s="849"/>
      <c r="W85" s="849"/>
      <c r="X85" s="849"/>
      <c r="Y85" s="1006"/>
      <c r="Z85" s="852"/>
      <c r="AA85" s="855"/>
      <c r="AB85" s="852"/>
      <c r="AC85" s="852"/>
      <c r="AD85" s="852"/>
    </row>
    <row customHeight="1" ht="27">
      <c r="A86" s="851"/>
      <c r="B86" s="905">
        <v>69</v>
      </c>
      <c r="C86" s="849"/>
      <c r="D86" s="973"/>
      <c r="E86" s="849"/>
      <c r="F86" s="849"/>
      <c r="G86" s="849"/>
      <c r="H86" s="897"/>
      <c r="I86" s="1011">
        <f>INDEX(TEMPLATE_NUMBER_POINT_FHD,B86,MATCH(TEMPLATE_SPHERE,TEMPLATE_SPHERE_LIST_FOR_NOTE,0))</f>
        <v>0</v>
      </c>
      <c r="J86" s="1011">
        <f>INDEX(TEMPLATE_DATA_POINT_FHD,B86,MATCH(TEMPLATE_SPHERE,TEMPLATE_SPHERE_LIST_FOR_NOTE,0))</f>
        <v>0</v>
      </c>
      <c r="K86" s="1011">
        <f>INDEX(TEMPLATE_NOTE_POINT_FHD,B86,MATCH(TEMPLATE_SPHERE,TEMPLATE_SPHERE_LIST_FOR_NOTE,0))</f>
        <v>0</v>
      </c>
      <c r="L86" s="850" t="str">
        <f>IF(I86=0,"",I86)</f>
        <v/>
      </c>
      <c r="M86" s="850" t="str">
        <f>IF(J86=0,"",J86)</f>
        <v/>
      </c>
      <c r="N86" s="850" t="str">
        <f>IF(K86=0,"",K86)</f>
        <v/>
      </c>
      <c r="O86" s="963" t="s">
        <v>2235</v>
      </c>
      <c r="P86" s="963"/>
      <c r="Q86" s="963"/>
      <c r="R86" s="963"/>
      <c r="S86" s="963"/>
      <c r="T86" s="849" t="s">
        <v>2236</v>
      </c>
      <c r="U86" s="849"/>
      <c r="V86" s="849"/>
      <c r="W86" s="849"/>
      <c r="X86" s="849"/>
      <c r="Y86" s="1006"/>
      <c r="Z86" s="852"/>
      <c r="AA86" s="855"/>
      <c r="AB86" s="852"/>
      <c r="AC86" s="852"/>
      <c r="AD86" s="852"/>
    </row>
    <row customHeight="1" ht="36">
      <c r="A87" s="851"/>
      <c r="B87" s="905">
        <v>70</v>
      </c>
      <c r="C87" s="849" t="s">
        <v>2237</v>
      </c>
      <c r="D87" s="973"/>
      <c r="E87" s="849"/>
      <c r="F87" s="849"/>
      <c r="G87" s="849"/>
      <c r="H87" s="897"/>
      <c r="I87" s="1011">
        <f>INDEX(TEMPLATE_NUMBER_POINT_FHD,B87,MATCH(TEMPLATE_SPHERE,TEMPLATE_SPHERE_LIST_FOR_NOTE,0))</f>
        <v>0</v>
      </c>
      <c r="J87" s="1011">
        <f>INDEX(TEMPLATE_DATA_POINT_FHD,B87,MATCH(TEMPLATE_SPHERE,TEMPLATE_SPHERE_LIST_FOR_NOTE,0))</f>
        <v>0</v>
      </c>
      <c r="K87" s="1011">
        <f>INDEX(TEMPLATE_NOTE_POINT_FHD,B87,MATCH(TEMPLATE_SPHERE,TEMPLATE_SPHERE_LIST_FOR_NOTE,0))</f>
        <v>0</v>
      </c>
      <c r="L87" s="850" t="str">
        <f>IF(I87=0,"",I87)</f>
        <v/>
      </c>
      <c r="M87" s="850" t="str">
        <f>IF(J87=0,"",J87)</f>
        <v/>
      </c>
      <c r="N87" s="850" t="str">
        <f>IF(K87=0,"",K87)</f>
        <v/>
      </c>
      <c r="O87" s="963" t="s">
        <v>152</v>
      </c>
      <c r="P87" s="963"/>
      <c r="Q87" s="963"/>
      <c r="R87" s="963"/>
      <c r="S87" s="963"/>
      <c r="T87" s="849" t="s">
        <v>2238</v>
      </c>
      <c r="U87" s="849"/>
      <c r="V87" s="849"/>
      <c r="W87" s="849"/>
      <c r="X87" s="849"/>
      <c r="Y87" s="1006"/>
      <c r="Z87" s="852"/>
      <c r="AA87" s="855"/>
      <c r="AB87" s="852"/>
      <c r="AC87" s="852"/>
      <c r="AD87" s="852"/>
    </row>
    <row customHeight="1" ht="18">
      <c r="A88" s="851"/>
      <c r="B88" s="905">
        <v>71</v>
      </c>
      <c r="C88" s="849" t="s">
        <v>2239</v>
      </c>
      <c r="D88" s="973"/>
      <c r="E88" s="849"/>
      <c r="F88" s="849"/>
      <c r="G88" s="849"/>
      <c r="H88" s="897"/>
      <c r="I88" s="1011">
        <f>INDEX(TEMPLATE_NUMBER_POINT_FHD,B88,MATCH(TEMPLATE_SPHERE,TEMPLATE_SPHERE_LIST_FOR_NOTE,0))</f>
        <v>0</v>
      </c>
      <c r="J88" s="1011">
        <f>INDEX(TEMPLATE_DATA_POINT_FHD,B88,MATCH(TEMPLATE_SPHERE,TEMPLATE_SPHERE_LIST_FOR_NOTE,0))</f>
        <v>0</v>
      </c>
      <c r="K88" s="1011">
        <f>INDEX(TEMPLATE_NOTE_POINT_FHD,B88,MATCH(TEMPLATE_SPHERE,TEMPLATE_SPHERE_LIST_FOR_NOTE,0))</f>
        <v>0</v>
      </c>
      <c r="L88" s="850" t="str">
        <f>IF(I88=0,"",I88)</f>
        <v/>
      </c>
      <c r="M88" s="850" t="str">
        <f>IF(J88=0,"",J88)</f>
        <v/>
      </c>
      <c r="N88" s="850" t="str">
        <f>IF(K88=0,"",K88)</f>
        <v/>
      </c>
      <c r="O88" s="963" t="s">
        <v>153</v>
      </c>
      <c r="P88" s="963"/>
      <c r="Q88" s="963"/>
      <c r="R88" s="963"/>
      <c r="S88" s="963"/>
      <c r="T88" s="849" t="s">
        <v>703</v>
      </c>
      <c r="U88" s="849"/>
      <c r="V88" s="849"/>
      <c r="W88" s="849"/>
      <c r="X88" s="849"/>
      <c r="Y88" s="1006"/>
      <c r="Z88" s="852"/>
      <c r="AA88" s="855"/>
      <c r="AB88" s="852"/>
      <c r="AC88" s="852"/>
      <c r="AD88" s="852"/>
    </row>
    <row customHeight="1" ht="18">
      <c r="A89" s="851"/>
      <c r="B89" s="905">
        <v>72</v>
      </c>
      <c r="C89" s="849" t="s">
        <v>2240</v>
      </c>
      <c r="D89" s="973" t="s">
        <v>2237</v>
      </c>
      <c r="E89" s="849" t="s">
        <v>2237</v>
      </c>
      <c r="F89" s="849" t="s">
        <v>2203</v>
      </c>
      <c r="G89" s="849"/>
      <c r="H89" s="897"/>
      <c r="I89" s="1011" t="str">
        <f>INDEX(TEMPLATE_NUMBER_POINT_FHD,B89,MATCH(TEMPLATE_SPHERE,TEMPLATE_SPHERE_LIST_FOR_NOTE,0))</f>
        <v>12</v>
      </c>
      <c r="J89" s="1011" t="str">
        <f>INDEX(TEMPLATE_DATA_POINT_FHD,B89,MATCH(TEMPLATE_SPHERE,TEMPLATE_SPHERE_LIST_FOR_NOTE,0))</f>
        <v>Среднесписочная численность основного производственного персонала</v>
      </c>
      <c r="K89" s="1011">
        <f>INDEX(TEMPLATE_NOTE_POINT_FHD,B89,MATCH(TEMPLATE_SPHERE,TEMPLATE_SPHERE_LIST_FOR_NOTE,0))</f>
        <v>0</v>
      </c>
      <c r="L89" s="850" t="str">
        <f>IF(I89=0,"",I89)</f>
        <v>12</v>
      </c>
      <c r="M89" s="850" t="str">
        <f>IF(J89=0,"",J89)</f>
        <v>Среднесписочная численность основного производственного персонала</v>
      </c>
      <c r="N89" s="850" t="str">
        <f>IF(K89=0,"",K89)</f>
        <v/>
      </c>
      <c r="O89" s="963" t="s">
        <v>154</v>
      </c>
      <c r="P89" s="963" t="s">
        <v>153</v>
      </c>
      <c r="Q89" s="963" t="s">
        <v>153</v>
      </c>
      <c r="R89" s="963" t="s">
        <v>151</v>
      </c>
      <c r="S89" s="963"/>
      <c r="T89" s="849" t="s">
        <v>711</v>
      </c>
      <c r="U89" s="849" t="s">
        <v>711</v>
      </c>
      <c r="V89" s="849" t="s">
        <v>711</v>
      </c>
      <c r="W89" s="849" t="s">
        <v>711</v>
      </c>
      <c r="X89" s="849"/>
      <c r="Y89" s="1006"/>
      <c r="Z89" s="852"/>
      <c r="AA89" s="855"/>
      <c r="AB89" s="852"/>
      <c r="AC89" s="852"/>
      <c r="AD89" s="852"/>
    </row>
    <row customHeight="1" ht="27">
      <c r="A90" s="851"/>
      <c r="B90" s="905">
        <v>73</v>
      </c>
      <c r="C90" s="849" t="s">
        <v>2241</v>
      </c>
      <c r="D90" s="973"/>
      <c r="E90" s="849"/>
      <c r="F90" s="849"/>
      <c r="G90" s="849"/>
      <c r="H90" s="897"/>
      <c r="I90" s="1011">
        <f>INDEX(TEMPLATE_NUMBER_POINT_FHD,B90,MATCH(TEMPLATE_SPHERE,TEMPLATE_SPHERE_LIST_FOR_NOTE,0))</f>
        <v>0</v>
      </c>
      <c r="J90" s="1011">
        <f>INDEX(TEMPLATE_DATA_POINT_FHD,B90,MATCH(TEMPLATE_SPHERE,TEMPLATE_SPHERE_LIST_FOR_NOTE,0))</f>
        <v>0</v>
      </c>
      <c r="K90" s="1011">
        <f>INDEX(TEMPLATE_NOTE_POINT_FHD,B90,MATCH(TEMPLATE_SPHERE,TEMPLATE_SPHERE_LIST_FOR_NOTE,0))</f>
        <v>0</v>
      </c>
      <c r="L90" s="850" t="str">
        <f>IF(I90=0,"",I90)</f>
        <v/>
      </c>
      <c r="M90" s="850" t="str">
        <f>IF(J90=0,"",J90)</f>
        <v/>
      </c>
      <c r="N90" s="850" t="str">
        <f>IF(K90=0,"",K90)</f>
        <v/>
      </c>
      <c r="O90" s="963" t="s">
        <v>155</v>
      </c>
      <c r="P90" s="963"/>
      <c r="Q90" s="963"/>
      <c r="R90" s="963"/>
      <c r="S90" s="963"/>
      <c r="T90" s="849" t="s">
        <v>713</v>
      </c>
      <c r="U90" s="849"/>
      <c r="V90" s="849"/>
      <c r="W90" s="849"/>
      <c r="X90" s="849"/>
      <c r="Y90" s="1006"/>
      <c r="Z90" s="852"/>
      <c r="AA90" s="855"/>
      <c r="AB90" s="852"/>
      <c r="AC90" s="852"/>
      <c r="AD90" s="852"/>
    </row>
    <row customHeight="1" ht="18">
      <c r="A91" s="851"/>
      <c r="B91" s="905">
        <v>74</v>
      </c>
      <c r="C91" s="849"/>
      <c r="D91" s="973" t="s">
        <v>2239</v>
      </c>
      <c r="E91" s="849" t="s">
        <v>2239</v>
      </c>
      <c r="F91" s="849"/>
      <c r="G91" s="849"/>
      <c r="H91" s="897"/>
      <c r="I91" s="1011" t="str">
        <f>INDEX(TEMPLATE_NUMBER_POINT_FHD,B91,MATCH(TEMPLATE_SPHERE,TEMPLATE_SPHERE_LIST_FOR_NOTE,0))</f>
        <v>13</v>
      </c>
      <c r="J91" s="1011" t="str">
        <f>INDEX(TEMPLATE_DATA_POINT_FHD,B91,MATCH(TEMPLATE_SPHERE,TEMPLATE_SPHERE_LIST_FOR_NOTE,0))</f>
        <v>Удельный расход электрической энергии на подачу воды в сеть</v>
      </c>
      <c r="K91" s="1011">
        <f>INDEX(TEMPLATE_NOTE_POINT_FHD,B91,MATCH(TEMPLATE_SPHERE,TEMPLATE_SPHERE_LIST_FOR_NOTE,0))</f>
        <v>0</v>
      </c>
      <c r="L91" s="850" t="str">
        <f>IF(I91=0,"",I91)</f>
        <v>13</v>
      </c>
      <c r="M91" s="850" t="str">
        <f>IF(J91=0,"",J91)</f>
        <v>Удельный расход электрической энергии на подачу воды в сеть</v>
      </c>
      <c r="N91" s="850" t="str">
        <f>IF(K91=0,"",K91)</f>
        <v/>
      </c>
      <c r="O91" s="963"/>
      <c r="P91" s="963" t="s">
        <v>154</v>
      </c>
      <c r="Q91" s="963" t="s">
        <v>154</v>
      </c>
      <c r="R91" s="963"/>
      <c r="S91" s="963"/>
      <c r="T91" s="849"/>
      <c r="U91" s="849" t="s">
        <v>2242</v>
      </c>
      <c r="V91" s="849" t="s">
        <v>2242</v>
      </c>
      <c r="W91" s="849"/>
      <c r="X91" s="849"/>
      <c r="Y91" s="1006"/>
      <c r="Z91" s="852"/>
      <c r="AA91" s="855"/>
      <c r="AB91" s="852"/>
      <c r="AC91" s="852"/>
      <c r="AD91" s="852"/>
    </row>
    <row customHeight="1" ht="27">
      <c r="A92" s="851"/>
      <c r="B92" s="905">
        <v>75</v>
      </c>
      <c r="C92" s="849"/>
      <c r="D92" s="973" t="s">
        <v>2240</v>
      </c>
      <c r="E92" s="849"/>
      <c r="F92" s="849"/>
      <c r="G92" s="849"/>
      <c r="H92" s="897"/>
      <c r="I92" s="1011" t="str">
        <f>INDEX(TEMPLATE_NUMBER_POINT_FHD,B92,MATCH(TEMPLATE_SPHERE,TEMPLATE_SPHERE_LIST_FOR_NOTE,0))</f>
        <v>14</v>
      </c>
      <c r="J92" s="1011" t="str">
        <f>INDEX(TEMPLATE_DATA_POINT_FHD,B92,MATCH(TEMPLATE_SPHERE,TEMPLATE_SPHERE_LIST_FOR_NOTE,0))</f>
        <v>Расход воды на собственные нужды, в том числе:</v>
      </c>
      <c r="K92" s="1011" t="str">
        <f>INDEX(TEMPLATE_NOTE_POINT_FHD,B92,MATCH(TEMPLATE_SPHERE,TEMPLATE_SPHERE_LIST_FOR_NOTE,0))</f>
        <v>Указывается доля общего расхода воды на собственные нужны от объема отпуска воды потребителям.</v>
      </c>
      <c r="L92" s="850" t="str">
        <f>IF(I92=0,"",I92)</f>
        <v>14</v>
      </c>
      <c r="M92" s="850" t="str">
        <f>IF(J92=0,"",J92)</f>
        <v>Расход воды на собственные нужды, в том числе:</v>
      </c>
      <c r="N92" s="850" t="str">
        <f>IF(K92=0,"",K92)</f>
        <v>Указывается доля общего расхода воды на собственные нужны от объема отпуска воды потребителям.</v>
      </c>
      <c r="O92" s="963"/>
      <c r="P92" s="963" t="s">
        <v>155</v>
      </c>
      <c r="Q92" s="963"/>
      <c r="R92" s="963"/>
      <c r="S92" s="963"/>
      <c r="T92" s="849"/>
      <c r="U92" s="849" t="s">
        <v>2243</v>
      </c>
      <c r="V92" s="849"/>
      <c r="W92" s="849"/>
      <c r="X92" s="849"/>
      <c r="Y92" s="1006"/>
      <c r="Z92" s="852"/>
      <c r="AA92" s="855" t="s">
        <v>2244</v>
      </c>
      <c r="AB92" s="852"/>
      <c r="AC92" s="852"/>
      <c r="AD92" s="852"/>
    </row>
    <row customHeight="1" ht="27">
      <c r="A93" s="851"/>
      <c r="B93" s="905">
        <v>76</v>
      </c>
      <c r="C93" s="849"/>
      <c r="D93" s="973"/>
      <c r="E93" s="849"/>
      <c r="F93" s="849"/>
      <c r="G93" s="849"/>
      <c r="H93" s="897"/>
      <c r="I93" s="1011" t="str">
        <f>INDEX(TEMPLATE_NUMBER_POINT_FHD,B93,MATCH(TEMPLATE_SPHERE,TEMPLATE_SPHERE_LIST_FOR_NOTE,0))</f>
        <v>14.1</v>
      </c>
      <c r="J93" s="1011" t="str">
        <f>INDEX(TEMPLATE_DATA_POINT_FHD,B93,MATCH(TEMPLATE_SPHERE,TEMPLATE_SPHERE_LIST_FOR_NOTE,0))</f>
        <v>Расход воды на хозяйственно-бытовые нужды</v>
      </c>
      <c r="K93" s="1011"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50" t="str">
        <f>IF(I93=0,"",I93)</f>
        <v>14.1</v>
      </c>
      <c r="M93" s="850" t="str">
        <f>IF(J93=0,"",J93)</f>
        <v>Расход воды на хозяйственно-бытовые нужды</v>
      </c>
      <c r="N93" s="850" t="str">
        <f>IF(K93=0,"",K93)</f>
        <v>Указывается доля расхода воды на хозяйственно-бытовые нужны от объема отпуска воды потребителям.</v>
      </c>
      <c r="O93" s="963"/>
      <c r="P93" s="963" t="s">
        <v>2150</v>
      </c>
      <c r="Q93" s="963"/>
      <c r="R93" s="963"/>
      <c r="S93" s="963"/>
      <c r="T93" s="849"/>
      <c r="U93" s="849" t="s">
        <v>2245</v>
      </c>
      <c r="V93" s="849"/>
      <c r="W93" s="849"/>
      <c r="X93" s="849"/>
      <c r="Y93" s="1006"/>
      <c r="Z93" s="852"/>
      <c r="AA93" s="855" t="s">
        <v>2246</v>
      </c>
      <c r="AB93" s="852"/>
      <c r="AC93" s="852"/>
      <c r="AD93" s="852"/>
    </row>
    <row customHeight="1" ht="45">
      <c r="A94" s="851"/>
      <c r="B94" s="905">
        <v>77</v>
      </c>
      <c r="C94" s="849"/>
      <c r="D94" s="973" t="s">
        <v>2241</v>
      </c>
      <c r="E94" s="849"/>
      <c r="F94" s="849"/>
      <c r="G94" s="849"/>
      <c r="H94" s="897"/>
      <c r="I94" s="1011" t="str">
        <f>INDEX(TEMPLATE_NUMBER_POINT_FHD,B94,MATCH(TEMPLATE_SPHERE,TEMPLATE_SPHERE_LIST_FOR_NOTE,0))</f>
        <v>15</v>
      </c>
      <c r="J94" s="1011" t="str">
        <f>INDEX(TEMPLATE_DATA_POINT_FHD,B94,MATCH(TEMPLATE_SPHERE,TEMPLATE_SPHERE_LIST_FOR_NOTE,0))</f>
        <v>Показатель использования производственных объектов (по объему перекачки), в том числе:</v>
      </c>
      <c r="K94" s="1011"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50" t="str">
        <f>IF(I94=0,"",I94)</f>
        <v>15</v>
      </c>
      <c r="M94" s="850" t="str">
        <f>IF(J94=0,"",J94)</f>
        <v>Показатель использования производственных объектов (по объему перекачки), в том числе:</v>
      </c>
      <c r="N94" s="850"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3"/>
      <c r="P94" s="963" t="s">
        <v>1503</v>
      </c>
      <c r="Q94" s="963"/>
      <c r="R94" s="963"/>
      <c r="S94" s="963"/>
      <c r="T94" s="849"/>
      <c r="U94" s="849" t="s">
        <v>2247</v>
      </c>
      <c r="V94" s="849"/>
      <c r="W94" s="849"/>
      <c r="X94" s="849"/>
      <c r="Y94" s="1006"/>
      <c r="Z94" s="852"/>
      <c r="AA94" s="855" t="s">
        <v>2248</v>
      </c>
      <c r="AB94" s="852"/>
      <c r="AC94" s="852"/>
      <c r="AD94" s="852"/>
    </row>
    <row customHeight="1" ht="99">
      <c r="A95" s="851"/>
      <c r="B95" s="905">
        <v>78</v>
      </c>
      <c r="C95" s="849" t="s">
        <v>2249</v>
      </c>
      <c r="D95" s="973"/>
      <c r="E95" s="849"/>
      <c r="F95" s="849"/>
      <c r="G95" s="849"/>
      <c r="H95" s="897"/>
      <c r="I95" s="1011">
        <f>INDEX(TEMPLATE_NUMBER_POINT_FHD,B95,MATCH(TEMPLATE_SPHERE,TEMPLATE_SPHERE_LIST_FOR_NOTE,0))</f>
        <v>0</v>
      </c>
      <c r="J95" s="1011">
        <f>INDEX(TEMPLATE_DATA_POINT_FHD,B95,MATCH(TEMPLATE_SPHERE,TEMPLATE_SPHERE_LIST_FOR_NOTE,0))</f>
        <v>0</v>
      </c>
      <c r="K95" s="1011">
        <f>INDEX(TEMPLATE_NOTE_POINT_FHD,B95,MATCH(TEMPLATE_SPHERE,TEMPLATE_SPHERE_LIST_FOR_NOTE,0))</f>
        <v>0</v>
      </c>
      <c r="L95" s="850" t="str">
        <f>IF(I95=0,"",I95)</f>
        <v/>
      </c>
      <c r="M95" s="850" t="str">
        <f>IF(J95=0,"",J95)</f>
        <v/>
      </c>
      <c r="N95" s="850" t="str">
        <f>IF(K95=0,"",K95)</f>
        <v/>
      </c>
      <c r="O95" s="963" t="s">
        <v>1503</v>
      </c>
      <c r="P95" s="963"/>
      <c r="Q95" s="963"/>
      <c r="R95" s="963"/>
      <c r="S95" s="963"/>
      <c r="T95" s="849" t="s">
        <v>2250</v>
      </c>
      <c r="U95" s="849"/>
      <c r="V95" s="849"/>
      <c r="W95" s="849"/>
      <c r="X95" s="849"/>
      <c r="Y95" s="1006"/>
      <c r="Z95" s="852"/>
      <c r="AA95" s="855"/>
      <c r="AB95" s="852"/>
      <c r="AC95" s="852"/>
      <c r="AD95" s="852"/>
    </row>
    <row customHeight="1" ht="99">
      <c r="A96" s="851"/>
      <c r="B96" s="905">
        <v>79</v>
      </c>
      <c r="C96" s="849" t="s">
        <v>1194</v>
      </c>
      <c r="D96" s="973"/>
      <c r="E96" s="849"/>
      <c r="F96" s="849"/>
      <c r="G96" s="849"/>
      <c r="H96" s="897"/>
      <c r="I96" s="1011">
        <f>INDEX(TEMPLATE_NUMBER_POINT_FHD,B96,MATCH(TEMPLATE_SPHERE,TEMPLATE_SPHERE_LIST_FOR_NOTE,0))</f>
        <v>0</v>
      </c>
      <c r="J96" s="1011">
        <f>INDEX(TEMPLATE_DATA_POINT_FHD,B96,MATCH(TEMPLATE_SPHERE,TEMPLATE_SPHERE_LIST_FOR_NOTE,0))</f>
        <v>0</v>
      </c>
      <c r="K96" s="1011">
        <f>INDEX(TEMPLATE_NOTE_POINT_FHD,B96,MATCH(TEMPLATE_SPHERE,TEMPLATE_SPHERE_LIST_FOR_NOTE,0))</f>
        <v>0</v>
      </c>
      <c r="L96" s="850" t="str">
        <f>IF(I96=0,"",I96)</f>
        <v/>
      </c>
      <c r="M96" s="850" t="str">
        <f>IF(J96=0,"",J96)</f>
        <v/>
      </c>
      <c r="N96" s="850" t="str">
        <f>IF(K96=0,"",K96)</f>
        <v/>
      </c>
      <c r="O96" s="963" t="s">
        <v>1509</v>
      </c>
      <c r="P96" s="963"/>
      <c r="Q96" s="963"/>
      <c r="R96" s="963"/>
      <c r="S96" s="963"/>
      <c r="T96" s="849" t="s">
        <v>2251</v>
      </c>
      <c r="U96" s="849"/>
      <c r="V96" s="849"/>
      <c r="W96" s="849"/>
      <c r="X96" s="849"/>
      <c r="Y96" s="1006"/>
      <c r="Z96" s="852" t="s">
        <v>2252</v>
      </c>
      <c r="AA96" s="855"/>
      <c r="AB96" s="852"/>
      <c r="AC96" s="852"/>
      <c r="AD96" s="852"/>
    </row>
    <row customHeight="1" ht="63">
      <c r="A97" s="851"/>
      <c r="B97" s="905">
        <v>80</v>
      </c>
      <c r="C97" s="849" t="s">
        <v>2253</v>
      </c>
      <c r="D97" s="973"/>
      <c r="E97" s="849"/>
      <c r="F97" s="849"/>
      <c r="G97" s="849"/>
      <c r="H97" s="897"/>
      <c r="I97" s="1011">
        <f>INDEX(TEMPLATE_NUMBER_POINT_FHD,B97,MATCH(TEMPLATE_SPHERE,TEMPLATE_SPHERE_LIST_FOR_NOTE,0))</f>
        <v>0</v>
      </c>
      <c r="J97" s="1011">
        <f>INDEX(TEMPLATE_DATA_POINT_FHD,B97,MATCH(TEMPLATE_SPHERE,TEMPLATE_SPHERE_LIST_FOR_NOTE,0))</f>
        <v>0</v>
      </c>
      <c r="K97" s="1011">
        <f>INDEX(TEMPLATE_NOTE_POINT_FHD,B97,MATCH(TEMPLATE_SPHERE,TEMPLATE_SPHERE_LIST_FOR_NOTE,0))</f>
        <v>0</v>
      </c>
      <c r="L97" s="850" t="str">
        <f>IF(I97=0,"",I97)</f>
        <v/>
      </c>
      <c r="M97" s="850" t="str">
        <f>IF(J97=0,"",J97)</f>
        <v/>
      </c>
      <c r="N97" s="850" t="str">
        <f>IF(K97=0,"",K97)</f>
        <v/>
      </c>
      <c r="O97" s="963" t="s">
        <v>1521</v>
      </c>
      <c r="P97" s="963"/>
      <c r="Q97" s="963"/>
      <c r="R97" s="963"/>
      <c r="S97" s="963"/>
      <c r="T97" s="849" t="s">
        <v>2254</v>
      </c>
      <c r="U97" s="849"/>
      <c r="V97" s="849"/>
      <c r="W97" s="849"/>
      <c r="X97" s="849"/>
      <c r="Y97" s="1006"/>
      <c r="Z97" s="852" t="s">
        <v>2255</v>
      </c>
      <c r="AA97" s="855"/>
      <c r="AB97" s="852"/>
      <c r="AC97" s="852"/>
      <c r="AD97" s="852"/>
    </row>
    <row customHeight="1" ht="63">
      <c r="A98" s="851"/>
      <c r="B98" s="905">
        <v>81</v>
      </c>
      <c r="C98" s="849" t="s">
        <v>2256</v>
      </c>
      <c r="D98" s="973"/>
      <c r="E98" s="849"/>
      <c r="F98" s="849"/>
      <c r="G98" s="849"/>
      <c r="H98" s="897"/>
      <c r="I98" s="1011">
        <f>INDEX(TEMPLATE_NUMBER_POINT_FHD,B98,MATCH(TEMPLATE_SPHERE,TEMPLATE_SPHERE_LIST_FOR_NOTE,0))</f>
        <v>0</v>
      </c>
      <c r="J98" s="1011">
        <f>INDEX(TEMPLATE_DATA_POINT_FHD,B98,MATCH(TEMPLATE_SPHERE,TEMPLATE_SPHERE_LIST_FOR_NOTE,0))</f>
        <v>0</v>
      </c>
      <c r="K98" s="1011">
        <f>INDEX(TEMPLATE_NOTE_POINT_FHD,B98,MATCH(TEMPLATE_SPHERE,TEMPLATE_SPHERE_LIST_FOR_NOTE,0))</f>
        <v>0</v>
      </c>
      <c r="L98" s="850" t="str">
        <f>IF(I98=0,"",I98)</f>
        <v/>
      </c>
      <c r="M98" s="850" t="str">
        <f>IF(J98=0,"",J98)</f>
        <v/>
      </c>
      <c r="N98" s="850" t="str">
        <f>IF(K98=0,"",K98)</f>
        <v/>
      </c>
      <c r="O98" s="963" t="s">
        <v>1535</v>
      </c>
      <c r="P98" s="963"/>
      <c r="Q98" s="963"/>
      <c r="R98" s="963"/>
      <c r="S98" s="963"/>
      <c r="T98" s="849" t="s">
        <v>2257</v>
      </c>
      <c r="U98" s="849"/>
      <c r="V98" s="849"/>
      <c r="W98" s="849"/>
      <c r="X98" s="849"/>
      <c r="Y98" s="1006"/>
      <c r="Z98" s="852" t="s">
        <v>2255</v>
      </c>
      <c r="AA98" s="855"/>
      <c r="AB98" s="852"/>
      <c r="AC98" s="852"/>
      <c r="AD98" s="852"/>
    </row>
    <row customHeight="1" ht="90">
      <c r="A99" s="851"/>
      <c r="B99" s="905">
        <v>82</v>
      </c>
      <c r="C99" s="849" t="s">
        <v>2258</v>
      </c>
      <c r="D99" s="973"/>
      <c r="E99" s="849"/>
      <c r="F99" s="849"/>
      <c r="G99" s="849"/>
      <c r="H99" s="897"/>
      <c r="I99" s="1011">
        <f>INDEX(TEMPLATE_NUMBER_POINT_FHD,B99,MATCH(TEMPLATE_SPHERE,TEMPLATE_SPHERE_LIST_FOR_NOTE,0))</f>
        <v>0</v>
      </c>
      <c r="J99" s="1011">
        <f>INDEX(TEMPLATE_DATA_POINT_FHD,B99,MATCH(TEMPLATE_SPHERE,TEMPLATE_SPHERE_LIST_FOR_NOTE,0))</f>
        <v>0</v>
      </c>
      <c r="K99" s="1011">
        <f>INDEX(TEMPLATE_NOTE_POINT_FHD,B99,MATCH(TEMPLATE_SPHERE,TEMPLATE_SPHERE_LIST_FOR_NOTE,0))</f>
        <v>0</v>
      </c>
      <c r="L99" s="850" t="str">
        <f>IF(I99=0,"",I99)</f>
        <v/>
      </c>
      <c r="M99" s="850" t="str">
        <f>IF(J99=0,"",J99)</f>
        <v/>
      </c>
      <c r="N99" s="850" t="str">
        <f>IF(K99=0,"",K99)</f>
        <v/>
      </c>
      <c r="O99" s="963" t="s">
        <v>1547</v>
      </c>
      <c r="P99" s="963"/>
      <c r="Q99" s="963"/>
      <c r="R99" s="963"/>
      <c r="S99" s="963"/>
      <c r="T99" s="849" t="s">
        <v>2259</v>
      </c>
      <c r="U99" s="849"/>
      <c r="V99" s="849"/>
      <c r="W99" s="849"/>
      <c r="X99" s="849"/>
      <c r="Y99" s="1006"/>
      <c r="Z99" s="852" t="s">
        <v>668</v>
      </c>
      <c r="AA99" s="855"/>
      <c r="AB99" s="852"/>
      <c r="AC99" s="852"/>
      <c r="AD99" s="852"/>
    </row>
    <row customHeight="1" ht="27">
      <c r="A100" s="851"/>
      <c r="B100" s="905">
        <v>83</v>
      </c>
      <c r="C100" s="849"/>
      <c r="D100" s="973"/>
      <c r="E100" s="849"/>
      <c r="F100" s="849"/>
      <c r="G100" s="849"/>
      <c r="H100" s="897"/>
      <c r="I100" s="1011">
        <f>INDEX(TEMPLATE_NUMBER_POINT_FHD,B100,MATCH(TEMPLATE_SPHERE,TEMPLATE_SPHERE_LIST_FOR_NOTE,0))</f>
        <v>0</v>
      </c>
      <c r="J100" s="1011">
        <f>INDEX(TEMPLATE_DATA_POINT_FHD,B100,MATCH(TEMPLATE_SPHERE,TEMPLATE_SPHERE_LIST_FOR_NOTE,0))</f>
        <v>0</v>
      </c>
      <c r="K100" s="1011">
        <f>INDEX(TEMPLATE_NOTE_POINT_FHD,B100,MATCH(TEMPLATE_SPHERE,TEMPLATE_SPHERE_LIST_FOR_NOTE,0))</f>
        <v>0</v>
      </c>
      <c r="L100" s="850" t="str">
        <f>IF(I100=0,"",I100)</f>
        <v/>
      </c>
      <c r="M100" s="850" t="str">
        <f>IF(J100=0,"",J100)</f>
        <v/>
      </c>
      <c r="N100" s="850" t="str">
        <f>IF(K100=0,"",K100)</f>
        <v/>
      </c>
      <c r="O100" s="963" t="s">
        <v>2260</v>
      </c>
      <c r="P100" s="963"/>
      <c r="Q100" s="963"/>
      <c r="R100" s="963"/>
      <c r="S100" s="963"/>
      <c r="T100" s="849" t="s">
        <v>2261</v>
      </c>
      <c r="U100" s="849"/>
      <c r="V100" s="849"/>
      <c r="W100" s="849"/>
      <c r="X100" s="849"/>
      <c r="Y100" s="1006"/>
      <c r="Z100" s="852" t="s">
        <v>668</v>
      </c>
      <c r="AA100" s="855"/>
      <c r="AB100" s="852"/>
      <c r="AC100" s="852"/>
      <c r="AD100" s="852"/>
    </row>
    <row customHeight="1" ht="27">
      <c r="A101" s="851"/>
      <c r="B101" s="905">
        <v>84</v>
      </c>
      <c r="C101" s="849"/>
      <c r="D101" s="973"/>
      <c r="E101" s="849"/>
      <c r="F101" s="849"/>
      <c r="G101" s="849"/>
      <c r="H101" s="897"/>
      <c r="I101" s="1011">
        <f>INDEX(TEMPLATE_NUMBER_POINT_FHD,B101,MATCH(TEMPLATE_SPHERE,TEMPLATE_SPHERE_LIST_FOR_NOTE,0))</f>
        <v>0</v>
      </c>
      <c r="J101" s="1011">
        <f>INDEX(TEMPLATE_DATA_POINT_FHD,B101,MATCH(TEMPLATE_SPHERE,TEMPLATE_SPHERE_LIST_FOR_NOTE,0))</f>
        <v>0</v>
      </c>
      <c r="K101" s="1011">
        <f>INDEX(TEMPLATE_NOTE_POINT_FHD,B101,MATCH(TEMPLATE_SPHERE,TEMPLATE_SPHERE_LIST_FOR_NOTE,0))</f>
        <v>0</v>
      </c>
      <c r="L101" s="850" t="str">
        <f>IF(I101=0,"",I101)</f>
        <v/>
      </c>
      <c r="M101" s="850" t="str">
        <f>IF(J101=0,"",J101)</f>
        <v/>
      </c>
      <c r="N101" s="850" t="str">
        <f>IF(K101=0,"",K101)</f>
        <v/>
      </c>
      <c r="O101" s="963" t="s">
        <v>2262</v>
      </c>
      <c r="P101" s="963"/>
      <c r="Q101" s="963"/>
      <c r="R101" s="963"/>
      <c r="S101" s="963"/>
      <c r="T101" s="849" t="s">
        <v>2263</v>
      </c>
      <c r="U101" s="849"/>
      <c r="V101" s="849"/>
      <c r="W101" s="849"/>
      <c r="X101" s="849"/>
      <c r="Y101" s="1006"/>
      <c r="Z101" s="852" t="s">
        <v>668</v>
      </c>
      <c r="AA101" s="855"/>
      <c r="AB101" s="852"/>
      <c r="AC101" s="852"/>
      <c r="AD101" s="852"/>
    </row>
    <row customHeight="1" ht="9">
      <c r="A102" s="851"/>
      <c r="B102" s="851"/>
      <c r="C102" s="849"/>
      <c r="D102" s="849"/>
      <c r="E102" s="849"/>
      <c r="F102" s="849"/>
      <c r="G102" s="849"/>
      <c r="H102" s="897"/>
      <c r="I102" s="897"/>
      <c r="J102" s="897"/>
      <c r="K102" s="897"/>
      <c r="L102" s="897"/>
      <c r="M102" s="849"/>
      <c r="N102" s="896"/>
      <c r="O102" s="963"/>
      <c r="P102" s="963"/>
      <c r="Q102" s="963"/>
      <c r="R102" s="963"/>
      <c r="S102" s="849"/>
      <c r="T102" s="849"/>
      <c r="U102" s="849"/>
      <c r="V102" s="849"/>
      <c r="W102" s="849"/>
      <c r="X102" s="849"/>
      <c r="Y102" s="1006"/>
      <c r="Z102" s="852"/>
      <c r="AA102" s="855"/>
      <c r="AB102" s="852"/>
      <c r="AC102" s="852"/>
      <c r="AD102" s="852"/>
    </row>
    <row customHeight="1" ht="9">
      <c r="A103" s="851"/>
      <c r="B103" s="851"/>
      <c r="C103" s="849"/>
      <c r="D103" s="849"/>
      <c r="E103" s="849"/>
      <c r="F103" s="849"/>
      <c r="G103" s="849"/>
      <c r="H103" s="897"/>
      <c r="I103" s="897"/>
      <c r="J103" s="897"/>
      <c r="K103" s="897"/>
      <c r="L103" s="897"/>
      <c r="M103" s="849"/>
      <c r="N103" s="896"/>
      <c r="O103" s="963"/>
      <c r="P103" s="963"/>
      <c r="Q103" s="963"/>
      <c r="R103" s="963"/>
      <c r="S103" s="849"/>
      <c r="T103" s="849"/>
      <c r="U103" s="849"/>
      <c r="V103" s="849"/>
      <c r="W103" s="849"/>
      <c r="X103" s="849"/>
      <c r="Y103" s="1006"/>
      <c r="Z103" s="852"/>
      <c r="AA103" s="855"/>
      <c r="AB103" s="852"/>
      <c r="AC103" s="852"/>
      <c r="AD103" s="852"/>
    </row>
    <row customHeight="1" ht="9">
      <c r="A104" s="851"/>
      <c r="B104" s="851"/>
      <c r="C104" s="849"/>
      <c r="D104" s="849"/>
      <c r="E104" s="849"/>
      <c r="F104" s="849"/>
      <c r="G104" s="849"/>
      <c r="H104" s="897"/>
      <c r="I104" s="897"/>
      <c r="J104" s="897"/>
      <c r="K104" s="897"/>
      <c r="L104" s="897"/>
      <c r="M104" s="849"/>
      <c r="N104" s="896"/>
      <c r="O104" s="963"/>
      <c r="P104" s="963"/>
      <c r="Q104" s="963"/>
      <c r="R104" s="963"/>
      <c r="S104" s="849"/>
      <c r="T104" s="849"/>
      <c r="U104" s="849"/>
      <c r="V104" s="849"/>
      <c r="W104" s="849"/>
      <c r="X104" s="849"/>
      <c r="Y104" s="1006"/>
      <c r="Z104" s="852"/>
      <c r="AA104" s="855"/>
      <c r="AB104" s="852"/>
      <c r="AC104" s="852"/>
      <c r="AD104" s="852"/>
    </row>
    <row customHeight="1" ht="9">
      <c r="A105" s="851"/>
      <c r="B105" s="851"/>
      <c r="C105" s="849"/>
      <c r="D105" s="849"/>
      <c r="E105" s="849"/>
      <c r="F105" s="849"/>
      <c r="G105" s="849"/>
      <c r="H105" s="897"/>
      <c r="I105" s="897"/>
      <c r="J105" s="897"/>
      <c r="K105" s="897"/>
      <c r="L105" s="897"/>
      <c r="M105" s="849"/>
      <c r="N105" s="896"/>
      <c r="O105" s="963"/>
      <c r="P105" s="963"/>
      <c r="Q105" s="963"/>
      <c r="R105" s="963"/>
      <c r="S105" s="849"/>
      <c r="T105" s="849"/>
      <c r="U105" s="849"/>
      <c r="V105" s="849"/>
      <c r="W105" s="849"/>
      <c r="X105" s="849"/>
      <c r="Y105" s="1006"/>
      <c r="Z105" s="852"/>
      <c r="AA105" s="855"/>
      <c r="AB105" s="852"/>
      <c r="AC105" s="852"/>
      <c r="AD105" s="852"/>
    </row>
    <row customHeight="1" ht="9">
      <c r="A106" s="851"/>
      <c r="B106" s="851"/>
      <c r="C106" s="849"/>
      <c r="D106" s="849"/>
      <c r="E106" s="849"/>
      <c r="F106" s="849"/>
      <c r="G106" s="849"/>
      <c r="H106" s="897"/>
      <c r="I106" s="897"/>
      <c r="J106" s="897"/>
      <c r="K106" s="897"/>
      <c r="L106" s="897"/>
      <c r="M106" s="849"/>
      <c r="N106" s="896"/>
      <c r="O106" s="963"/>
      <c r="P106" s="963"/>
      <c r="Q106" s="963"/>
      <c r="R106" s="963"/>
      <c r="S106" s="849"/>
      <c r="T106" s="849"/>
      <c r="U106" s="849"/>
      <c r="V106" s="849"/>
      <c r="W106" s="849"/>
      <c r="X106" s="849"/>
      <c r="Y106" s="1006"/>
      <c r="Z106" s="852"/>
      <c r="AA106" s="855"/>
      <c r="AB106" s="852"/>
      <c r="AC106" s="852"/>
      <c r="AD106" s="852"/>
    </row>
    <row customHeight="1" ht="9">
      <c r="A107" s="851"/>
      <c r="B107" s="851"/>
      <c r="C107" s="849"/>
      <c r="D107" s="849"/>
      <c r="E107" s="849"/>
      <c r="F107" s="849"/>
      <c r="G107" s="849"/>
      <c r="H107" s="897"/>
      <c r="I107" s="897"/>
      <c r="J107" s="897"/>
      <c r="K107" s="897"/>
      <c r="L107" s="897"/>
      <c r="M107" s="849"/>
      <c r="N107" s="896"/>
      <c r="O107" s="963"/>
      <c r="P107" s="963"/>
      <c r="Q107" s="963"/>
      <c r="R107" s="963"/>
      <c r="S107" s="849"/>
      <c r="T107" s="849"/>
      <c r="U107" s="849"/>
      <c r="V107" s="849"/>
      <c r="W107" s="849"/>
      <c r="X107" s="849"/>
      <c r="Y107" s="1006"/>
      <c r="Z107" s="852"/>
      <c r="AA107" s="855"/>
      <c r="AB107" s="852"/>
      <c r="AC107" s="852"/>
      <c r="AD107" s="852"/>
    </row>
    <row customHeight="1" ht="9">
      <c r="A108" s="851"/>
      <c r="B108" s="851"/>
      <c r="C108" s="849"/>
      <c r="D108" s="849"/>
      <c r="E108" s="849"/>
      <c r="F108" s="849"/>
      <c r="G108" s="849"/>
      <c r="H108" s="897"/>
      <c r="I108" s="897"/>
      <c r="J108" s="897"/>
      <c r="K108" s="897"/>
      <c r="L108" s="897"/>
      <c r="M108" s="849"/>
      <c r="N108" s="896"/>
      <c r="O108" s="963"/>
      <c r="P108" s="963"/>
      <c r="Q108" s="963"/>
      <c r="R108" s="963"/>
      <c r="S108" s="849"/>
      <c r="T108" s="849"/>
      <c r="U108" s="849"/>
      <c r="V108" s="849"/>
      <c r="W108" s="849"/>
      <c r="X108" s="849"/>
      <c r="Y108" s="1006"/>
      <c r="Z108" s="852"/>
      <c r="AA108" s="855"/>
      <c r="AB108" s="852"/>
      <c r="AC108" s="852"/>
      <c r="AD108" s="852"/>
    </row>
    <row customHeight="1" ht="9">
      <c r="A109" s="851"/>
      <c r="B109" s="851"/>
      <c r="C109" s="849"/>
      <c r="D109" s="849"/>
      <c r="E109" s="849"/>
      <c r="F109" s="849"/>
      <c r="G109" s="849"/>
      <c r="H109" s="897"/>
      <c r="I109" s="897"/>
      <c r="J109" s="897"/>
      <c r="K109" s="897"/>
      <c r="L109" s="897"/>
      <c r="M109" s="849"/>
      <c r="N109" s="896"/>
      <c r="O109" s="963"/>
      <c r="P109" s="963"/>
      <c r="Q109" s="963"/>
      <c r="R109" s="963"/>
      <c r="S109" s="849"/>
      <c r="T109" s="849"/>
      <c r="U109" s="849"/>
      <c r="V109" s="849"/>
      <c r="W109" s="849"/>
      <c r="X109" s="849"/>
      <c r="Y109" s="1006"/>
      <c r="Z109" s="852"/>
      <c r="AA109" s="855"/>
      <c r="AB109" s="852"/>
      <c r="AC109" s="852"/>
      <c r="AD109" s="852"/>
    </row>
    <row customHeight="1" ht="9">
      <c r="A110" s="851"/>
      <c r="B110" s="851"/>
      <c r="C110" s="849"/>
      <c r="D110" s="849"/>
      <c r="E110" s="849"/>
      <c r="F110" s="849"/>
      <c r="G110" s="849"/>
      <c r="H110" s="897"/>
      <c r="I110" s="897"/>
      <c r="J110" s="897"/>
      <c r="K110" s="897"/>
      <c r="L110" s="897"/>
      <c r="M110" s="849"/>
      <c r="N110" s="896"/>
      <c r="O110" s="963"/>
      <c r="P110" s="963"/>
      <c r="Q110" s="963"/>
      <c r="R110" s="963"/>
      <c r="S110" s="849"/>
      <c r="T110" s="849"/>
      <c r="U110" s="849"/>
      <c r="V110" s="849"/>
      <c r="W110" s="849"/>
      <c r="X110" s="849"/>
      <c r="Y110" s="1006"/>
      <c r="Z110" s="852"/>
      <c r="AA110" s="855"/>
      <c r="AB110" s="852"/>
      <c r="AC110" s="852"/>
      <c r="AD110" s="852"/>
    </row>
    <row customHeight="1" ht="9">
      <c r="A111" s="851"/>
      <c r="B111" s="851"/>
      <c r="C111" s="849"/>
      <c r="D111" s="849"/>
      <c r="E111" s="849"/>
      <c r="F111" s="849"/>
      <c r="G111" s="849"/>
      <c r="H111" s="897"/>
      <c r="I111" s="897"/>
      <c r="J111" s="897"/>
      <c r="K111" s="897"/>
      <c r="L111" s="897"/>
      <c r="M111" s="849"/>
      <c r="N111" s="896"/>
      <c r="O111" s="963"/>
      <c r="P111" s="963"/>
      <c r="Q111" s="963"/>
      <c r="R111" s="963"/>
      <c r="S111" s="849"/>
      <c r="T111" s="849"/>
      <c r="U111" s="849"/>
      <c r="V111" s="849"/>
      <c r="W111" s="849"/>
      <c r="X111" s="849"/>
      <c r="Y111" s="1006"/>
      <c r="Z111" s="852"/>
      <c r="AA111" s="855"/>
      <c r="AB111" s="852"/>
      <c r="AC111" s="852"/>
      <c r="AD111" s="852"/>
    </row>
    <row customHeight="1" ht="9">
      <c r="A112" s="851"/>
      <c r="B112" s="851"/>
      <c r="C112" s="849"/>
      <c r="D112" s="849"/>
      <c r="E112" s="849"/>
      <c r="F112" s="849"/>
      <c r="G112" s="849"/>
      <c r="H112" s="897"/>
      <c r="I112" s="897"/>
      <c r="J112" s="897"/>
      <c r="K112" s="897"/>
      <c r="L112" s="897"/>
      <c r="M112" s="849"/>
      <c r="N112" s="896"/>
      <c r="O112" s="963"/>
      <c r="P112" s="963"/>
      <c r="Q112" s="963"/>
      <c r="R112" s="963"/>
      <c r="S112" s="849"/>
      <c r="T112" s="849"/>
      <c r="U112" s="849"/>
      <c r="V112" s="849"/>
      <c r="W112" s="849"/>
      <c r="X112" s="849"/>
      <c r="Y112" s="1006"/>
      <c r="Z112" s="852"/>
      <c r="AA112" s="855"/>
      <c r="AB112" s="852"/>
      <c r="AC112" s="852"/>
      <c r="AD112" s="852"/>
    </row>
    <row customHeight="1" ht="9">
      <c r="A113" s="851"/>
      <c r="B113" s="851"/>
      <c r="C113" s="849"/>
      <c r="D113" s="849"/>
      <c r="E113" s="849"/>
      <c r="F113" s="849"/>
      <c r="G113" s="849"/>
      <c r="H113" s="897"/>
      <c r="I113" s="897"/>
      <c r="J113" s="897"/>
      <c r="K113" s="897"/>
      <c r="L113" s="897"/>
      <c r="M113" s="849"/>
      <c r="N113" s="896"/>
      <c r="O113" s="963"/>
      <c r="P113" s="963"/>
      <c r="Q113" s="963"/>
      <c r="R113" s="963"/>
      <c r="S113" s="849"/>
      <c r="T113" s="849"/>
      <c r="U113" s="849"/>
      <c r="V113" s="849"/>
      <c r="W113" s="849"/>
      <c r="X113" s="849"/>
      <c r="Y113" s="1006"/>
      <c r="Z113" s="852"/>
      <c r="AA113" s="855"/>
      <c r="AB113" s="852"/>
      <c r="AC113" s="852"/>
      <c r="AD113" s="852"/>
    </row>
    <row customHeight="1" ht="9">
      <c r="A114" s="851"/>
      <c r="B114" s="851"/>
      <c r="C114" s="849"/>
      <c r="D114" s="849"/>
      <c r="E114" s="849"/>
      <c r="F114" s="849"/>
      <c r="G114" s="849"/>
      <c r="H114" s="897"/>
      <c r="I114" s="897"/>
      <c r="J114" s="897"/>
      <c r="K114" s="897"/>
      <c r="L114" s="897"/>
      <c r="M114" s="849"/>
      <c r="N114" s="896"/>
      <c r="O114" s="963"/>
      <c r="P114" s="963"/>
      <c r="Q114" s="963"/>
      <c r="R114" s="963"/>
      <c r="S114" s="849"/>
      <c r="T114" s="849"/>
      <c r="U114" s="849"/>
      <c r="V114" s="849"/>
      <c r="W114" s="849"/>
      <c r="X114" s="849"/>
      <c r="Y114" s="1006"/>
      <c r="Z114" s="852"/>
      <c r="AA114" s="855"/>
      <c r="AB114" s="852"/>
      <c r="AC114" s="852"/>
      <c r="AD114" s="852"/>
    </row>
    <row customHeight="1" ht="9">
      <c r="A115" s="851"/>
      <c r="B115" s="851"/>
      <c r="C115" s="849"/>
      <c r="D115" s="849"/>
      <c r="E115" s="849"/>
      <c r="F115" s="849"/>
      <c r="G115" s="849"/>
      <c r="H115" s="897"/>
      <c r="I115" s="897"/>
      <c r="J115" s="897"/>
      <c r="K115" s="897"/>
      <c r="L115" s="897"/>
      <c r="M115" s="849"/>
      <c r="N115" s="896"/>
      <c r="O115" s="963"/>
      <c r="P115" s="963"/>
      <c r="Q115" s="963"/>
      <c r="R115" s="963"/>
      <c r="S115" s="849"/>
      <c r="T115" s="849"/>
      <c r="U115" s="849"/>
      <c r="V115" s="849"/>
      <c r="W115" s="849"/>
      <c r="X115" s="849"/>
      <c r="Y115" s="1006"/>
      <c r="Z115" s="852"/>
      <c r="AA115" s="855"/>
      <c r="AB115" s="852"/>
      <c r="AC115" s="852"/>
      <c r="AD115" s="852"/>
    </row>
    <row customHeight="1" ht="9">
      <c r="A116" s="851"/>
      <c r="B116" s="851"/>
      <c r="C116" s="849"/>
      <c r="D116" s="849"/>
      <c r="E116" s="849"/>
      <c r="F116" s="849"/>
      <c r="G116" s="849"/>
      <c r="H116" s="897"/>
      <c r="I116" s="897"/>
      <c r="J116" s="897"/>
      <c r="K116" s="897"/>
      <c r="L116" s="897"/>
      <c r="M116" s="849"/>
      <c r="N116" s="896"/>
      <c r="O116" s="963"/>
      <c r="P116" s="963"/>
      <c r="Q116" s="963"/>
      <c r="R116" s="963"/>
      <c r="S116" s="849"/>
      <c r="T116" s="849"/>
      <c r="U116" s="849"/>
      <c r="V116" s="849"/>
      <c r="W116" s="849"/>
      <c r="X116" s="849"/>
      <c r="Y116" s="1006"/>
      <c r="Z116" s="852"/>
      <c r="AA116" s="855"/>
      <c r="AB116" s="852"/>
      <c r="AC116" s="852"/>
      <c r="AD116" s="852"/>
    </row>
    <row customHeight="1" ht="9">
      <c r="A117" s="851"/>
      <c r="B117" s="851"/>
      <c r="C117" s="849"/>
      <c r="D117" s="849"/>
      <c r="E117" s="849"/>
      <c r="F117" s="849"/>
      <c r="G117" s="849"/>
      <c r="H117" s="897"/>
      <c r="I117" s="897"/>
      <c r="J117" s="897"/>
      <c r="K117" s="897"/>
      <c r="L117" s="897"/>
      <c r="M117" s="849"/>
      <c r="N117" s="896"/>
      <c r="O117" s="963"/>
      <c r="P117" s="963"/>
      <c r="Q117" s="963"/>
      <c r="R117" s="963"/>
      <c r="S117" s="849"/>
      <c r="T117" s="849"/>
      <c r="U117" s="849"/>
      <c r="V117" s="849"/>
      <c r="W117" s="849"/>
      <c r="X117" s="849"/>
      <c r="Y117" s="1006"/>
      <c r="Z117" s="852"/>
      <c r="AA117" s="855"/>
      <c r="AB117" s="852"/>
      <c r="AC117" s="852"/>
      <c r="AD117" s="852"/>
    </row>
    <row customHeight="1" ht="9">
      <c r="A118" s="851"/>
      <c r="B118" s="851"/>
      <c r="C118" s="849"/>
      <c r="D118" s="849"/>
      <c r="E118" s="849"/>
      <c r="F118" s="849"/>
      <c r="G118" s="849"/>
      <c r="H118" s="897"/>
      <c r="I118" s="897"/>
      <c r="J118" s="897"/>
      <c r="K118" s="897"/>
      <c r="L118" s="897"/>
      <c r="M118" s="849"/>
      <c r="N118" s="896"/>
      <c r="O118" s="963"/>
      <c r="P118" s="963"/>
      <c r="Q118" s="963"/>
      <c r="R118" s="963"/>
      <c r="S118" s="849"/>
      <c r="T118" s="849"/>
      <c r="U118" s="849"/>
      <c r="V118" s="849"/>
      <c r="W118" s="849"/>
      <c r="X118" s="849"/>
      <c r="Y118" s="1006"/>
      <c r="Z118" s="852"/>
      <c r="AA118" s="855"/>
      <c r="AB118" s="852"/>
      <c r="AC118" s="852"/>
      <c r="AD118" s="852"/>
    </row>
    <row customHeight="1" ht="9">
      <c r="A119" s="851"/>
      <c r="B119" s="851"/>
      <c r="C119" s="849"/>
      <c r="D119" s="849"/>
      <c r="E119" s="849"/>
      <c r="F119" s="849"/>
      <c r="G119" s="849"/>
      <c r="H119" s="897"/>
      <c r="I119" s="897"/>
      <c r="J119" s="897"/>
      <c r="K119" s="897"/>
      <c r="L119" s="897"/>
      <c r="M119" s="849"/>
      <c r="N119" s="896"/>
      <c r="O119" s="963"/>
      <c r="P119" s="963"/>
      <c r="Q119" s="963"/>
      <c r="R119" s="963"/>
      <c r="S119" s="849"/>
      <c r="T119" s="849"/>
      <c r="U119" s="849"/>
      <c r="V119" s="849"/>
      <c r="W119" s="849"/>
      <c r="X119" s="849"/>
      <c r="Y119" s="1006"/>
      <c r="Z119" s="852"/>
      <c r="AA119" s="855"/>
      <c r="AB119" s="852"/>
      <c r="AC119" s="852"/>
      <c r="AD119" s="852"/>
    </row>
    <row customHeight="1" ht="9">
      <c r="A120" s="851"/>
      <c r="B120" s="851"/>
      <c r="C120" s="849"/>
      <c r="D120" s="849"/>
      <c r="E120" s="849"/>
      <c r="F120" s="849"/>
      <c r="G120" s="849"/>
      <c r="H120" s="897"/>
      <c r="I120" s="897"/>
      <c r="J120" s="897"/>
      <c r="K120" s="897"/>
      <c r="L120" s="897"/>
      <c r="M120" s="849"/>
      <c r="N120" s="896"/>
      <c r="O120" s="963"/>
      <c r="P120" s="963"/>
      <c r="Q120" s="963"/>
      <c r="R120" s="963"/>
      <c r="S120" s="849"/>
      <c r="T120" s="849"/>
      <c r="U120" s="849"/>
      <c r="V120" s="849"/>
      <c r="W120" s="849"/>
      <c r="X120" s="849"/>
      <c r="Y120" s="1006"/>
      <c r="Z120" s="852"/>
      <c r="AA120" s="855"/>
      <c r="AB120" s="852"/>
      <c r="AC120" s="852"/>
      <c r="AD120" s="852"/>
    </row>
    <row customHeight="1" ht="9">
      <c r="A121" s="851"/>
      <c r="B121" s="851"/>
      <c r="C121" s="849"/>
      <c r="D121" s="849"/>
      <c r="E121" s="849"/>
      <c r="F121" s="849"/>
      <c r="G121" s="849"/>
      <c r="H121" s="897"/>
      <c r="I121" s="897"/>
      <c r="J121" s="897"/>
      <c r="K121" s="897"/>
      <c r="L121" s="897"/>
      <c r="M121" s="849"/>
      <c r="N121" s="896"/>
      <c r="O121" s="963"/>
      <c r="P121" s="963"/>
      <c r="Q121" s="963"/>
      <c r="R121" s="963"/>
      <c r="S121" s="849"/>
      <c r="T121" s="849"/>
      <c r="U121" s="849"/>
      <c r="V121" s="849"/>
      <c r="W121" s="849"/>
      <c r="X121" s="849"/>
      <c r="Y121" s="1006"/>
      <c r="Z121" s="852"/>
      <c r="AA121" s="855"/>
      <c r="AB121" s="852"/>
      <c r="AC121" s="852"/>
      <c r="AD121" s="852"/>
    </row>
    <row customHeight="1" ht="9">
      <c r="A122" s="851"/>
      <c r="B122" s="851"/>
      <c r="C122" s="849"/>
      <c r="D122" s="849"/>
      <c r="E122" s="849"/>
      <c r="F122" s="849"/>
      <c r="G122" s="849"/>
      <c r="H122" s="897"/>
      <c r="I122" s="897"/>
      <c r="J122" s="897"/>
      <c r="K122" s="897"/>
      <c r="L122" s="897"/>
      <c r="M122" s="849"/>
      <c r="N122" s="896"/>
      <c r="O122" s="963"/>
      <c r="P122" s="963"/>
      <c r="Q122" s="963"/>
      <c r="R122" s="963"/>
      <c r="S122" s="849"/>
      <c r="T122" s="849"/>
      <c r="U122" s="849"/>
      <c r="V122" s="849"/>
      <c r="W122" s="849"/>
      <c r="X122" s="849"/>
      <c r="Y122" s="1006"/>
      <c r="Z122" s="852"/>
      <c r="AA122" s="855"/>
      <c r="AB122" s="852"/>
      <c r="AC122" s="852"/>
      <c r="AD122" s="852"/>
    </row>
    <row customHeight="1" ht="9">
      <c r="A123" s="851"/>
      <c r="B123" s="851"/>
      <c r="C123" s="849"/>
      <c r="D123" s="849"/>
      <c r="E123" s="849"/>
      <c r="F123" s="849"/>
      <c r="G123" s="849"/>
      <c r="H123" s="897"/>
      <c r="I123" s="897"/>
      <c r="J123" s="897"/>
      <c r="K123" s="897"/>
      <c r="L123" s="897"/>
      <c r="M123" s="849"/>
      <c r="N123" s="896"/>
      <c r="O123" s="963"/>
      <c r="P123" s="963"/>
      <c r="Q123" s="963"/>
      <c r="R123" s="963"/>
      <c r="S123" s="849"/>
      <c r="T123" s="849"/>
      <c r="U123" s="849"/>
      <c r="V123" s="849"/>
      <c r="W123" s="849"/>
      <c r="X123" s="849"/>
      <c r="Y123" s="1006"/>
      <c r="Z123" s="852"/>
      <c r="AA123" s="855"/>
      <c r="AB123" s="852"/>
      <c r="AC123" s="852"/>
      <c r="AD123" s="852"/>
    </row>
    <row customHeight="1" ht="9">
      <c r="A124" s="851"/>
      <c r="B124" s="851"/>
      <c r="C124" s="849"/>
      <c r="D124" s="849"/>
      <c r="E124" s="849"/>
      <c r="F124" s="849"/>
      <c r="G124" s="849"/>
      <c r="H124" s="897"/>
      <c r="I124" s="897"/>
      <c r="J124" s="897"/>
      <c r="K124" s="897"/>
      <c r="L124" s="897"/>
      <c r="M124" s="849"/>
      <c r="N124" s="896"/>
      <c r="O124" s="963"/>
      <c r="P124" s="963"/>
      <c r="Q124" s="963"/>
      <c r="R124" s="963"/>
      <c r="S124" s="849"/>
      <c r="T124" s="849"/>
      <c r="U124" s="849"/>
      <c r="V124" s="849"/>
      <c r="W124" s="849"/>
      <c r="X124" s="849"/>
      <c r="Y124" s="1006"/>
      <c r="Z124" s="852"/>
      <c r="AA124" s="855"/>
      <c r="AB124" s="852"/>
      <c r="AC124" s="852"/>
      <c r="AD124" s="852"/>
    </row>
    <row customHeight="1" ht="9">
      <c r="A125" s="851"/>
      <c r="B125" s="851"/>
      <c r="C125" s="849"/>
      <c r="D125" s="849"/>
      <c r="E125" s="849"/>
      <c r="F125" s="849"/>
      <c r="G125" s="849"/>
      <c r="H125" s="897"/>
      <c r="I125" s="897"/>
      <c r="J125" s="897"/>
      <c r="K125" s="897"/>
      <c r="L125" s="897"/>
      <c r="M125" s="849"/>
      <c r="N125" s="896"/>
      <c r="O125" s="963"/>
      <c r="P125" s="963"/>
      <c r="Q125" s="963"/>
      <c r="R125" s="963"/>
      <c r="S125" s="849"/>
      <c r="T125" s="849"/>
      <c r="U125" s="849"/>
      <c r="V125" s="849"/>
      <c r="W125" s="849"/>
      <c r="X125" s="849"/>
      <c r="Y125" s="1006"/>
      <c r="Z125" s="852"/>
      <c r="AA125" s="855"/>
      <c r="AB125" s="852"/>
      <c r="AC125" s="852"/>
      <c r="AD125" s="852"/>
    </row>
    <row customHeight="1" ht="9">
      <c r="A126" s="851"/>
      <c r="B126" s="851"/>
      <c r="C126" s="849"/>
      <c r="D126" s="849"/>
      <c r="E126" s="849"/>
      <c r="F126" s="849"/>
      <c r="G126" s="849"/>
      <c r="H126" s="897"/>
      <c r="I126" s="897"/>
      <c r="J126" s="897"/>
      <c r="K126" s="897"/>
      <c r="L126" s="897"/>
      <c r="M126" s="849"/>
      <c r="N126" s="896"/>
      <c r="O126" s="963"/>
      <c r="P126" s="963"/>
      <c r="Q126" s="963"/>
      <c r="R126" s="963"/>
      <c r="S126" s="849"/>
      <c r="T126" s="849"/>
      <c r="U126" s="849"/>
      <c r="V126" s="849"/>
      <c r="W126" s="849"/>
      <c r="X126" s="849"/>
      <c r="Y126" s="1006"/>
      <c r="Z126" s="852"/>
      <c r="AA126" s="855"/>
      <c r="AB126" s="852"/>
      <c r="AC126" s="852"/>
      <c r="AD126" s="852"/>
    </row>
    <row customHeight="1" ht="9">
      <c r="A127" s="851"/>
      <c r="B127" s="851"/>
      <c r="C127" s="849"/>
      <c r="D127" s="849"/>
      <c r="E127" s="849"/>
      <c r="F127" s="849"/>
      <c r="G127" s="849"/>
      <c r="H127" s="897"/>
      <c r="I127" s="897"/>
      <c r="J127" s="897"/>
      <c r="K127" s="897"/>
      <c r="L127" s="897"/>
      <c r="M127" s="849"/>
      <c r="N127" s="896"/>
      <c r="O127" s="963"/>
      <c r="P127" s="963"/>
      <c r="Q127" s="963"/>
      <c r="R127" s="963"/>
      <c r="S127" s="849"/>
      <c r="T127" s="849"/>
      <c r="U127" s="849"/>
      <c r="V127" s="849"/>
      <c r="W127" s="849"/>
      <c r="X127" s="849"/>
      <c r="Y127" s="1006"/>
      <c r="Z127" s="852"/>
      <c r="AA127" s="855"/>
      <c r="AB127" s="852"/>
      <c r="AC127" s="852"/>
      <c r="AD127" s="852"/>
    </row>
    <row customHeight="1" ht="9">
      <c r="A128" s="851"/>
      <c r="B128" s="851"/>
      <c r="C128" s="849"/>
      <c r="D128" s="849"/>
      <c r="E128" s="849"/>
      <c r="F128" s="849"/>
      <c r="G128" s="849"/>
      <c r="H128" s="897"/>
      <c r="I128" s="897"/>
      <c r="J128" s="897"/>
      <c r="K128" s="897"/>
      <c r="L128" s="897"/>
      <c r="M128" s="849"/>
      <c r="N128" s="896"/>
      <c r="O128" s="963"/>
      <c r="P128" s="963"/>
      <c r="Q128" s="963"/>
      <c r="R128" s="963"/>
      <c r="S128" s="849"/>
      <c r="T128" s="849"/>
      <c r="U128" s="849"/>
      <c r="V128" s="849"/>
      <c r="W128" s="849"/>
      <c r="X128" s="849"/>
      <c r="Y128" s="1006"/>
      <c r="Z128" s="852"/>
      <c r="AA128" s="855"/>
      <c r="AB128" s="852"/>
      <c r="AC128" s="852"/>
      <c r="AD128" s="852"/>
    </row>
    <row customHeight="1" ht="9">
      <c r="A129" s="851"/>
      <c r="B129" s="851"/>
      <c r="C129" s="849"/>
      <c r="D129" s="849"/>
      <c r="E129" s="849"/>
      <c r="F129" s="849"/>
      <c r="G129" s="849"/>
      <c r="H129" s="897"/>
      <c r="I129" s="897"/>
      <c r="J129" s="897"/>
      <c r="K129" s="897"/>
      <c r="L129" s="897"/>
      <c r="M129" s="849"/>
      <c r="N129" s="896"/>
      <c r="O129" s="963"/>
      <c r="P129" s="963"/>
      <c r="Q129" s="963"/>
      <c r="R129" s="963"/>
      <c r="S129" s="849"/>
      <c r="T129" s="849"/>
      <c r="U129" s="849"/>
      <c r="V129" s="849"/>
      <c r="W129" s="849"/>
      <c r="X129" s="849"/>
      <c r="Y129" s="1006"/>
      <c r="Z129" s="852"/>
      <c r="AA129" s="855"/>
      <c r="AB129" s="852"/>
      <c r="AC129" s="852"/>
      <c r="AD129" s="852"/>
    </row>
    <row customHeight="1" ht="9">
      <c r="A130" s="851"/>
      <c r="B130" s="851"/>
      <c r="C130" s="849"/>
      <c r="D130" s="849"/>
      <c r="E130" s="849"/>
      <c r="F130" s="849"/>
      <c r="G130" s="849"/>
      <c r="H130" s="897"/>
      <c r="I130" s="897"/>
      <c r="J130" s="897"/>
      <c r="K130" s="897"/>
      <c r="L130" s="897"/>
      <c r="M130" s="849"/>
      <c r="N130" s="896"/>
      <c r="O130" s="965"/>
      <c r="P130" s="965"/>
      <c r="Q130" s="965"/>
      <c r="R130" s="965"/>
      <c r="S130" s="849"/>
      <c r="T130" s="849"/>
      <c r="U130" s="849"/>
      <c r="V130" s="849"/>
      <c r="W130" s="849"/>
      <c r="X130" s="849"/>
      <c r="Y130" s="1006"/>
      <c r="Z130" s="852"/>
      <c r="AA130" s="855"/>
      <c r="AB130" s="852"/>
      <c r="AC130" s="852"/>
      <c r="AD130" s="852"/>
    </row>
    <row customHeight="1" ht="9">
      <c r="A131" s="851"/>
      <c r="B131" s="851"/>
      <c r="C131" s="849"/>
      <c r="D131" s="849"/>
      <c r="E131" s="849"/>
      <c r="F131" s="849"/>
      <c r="G131" s="849"/>
      <c r="H131" s="897"/>
      <c r="I131" s="897"/>
      <c r="J131" s="897"/>
      <c r="K131" s="897"/>
      <c r="L131" s="897"/>
      <c r="M131" s="849"/>
      <c r="N131" s="896"/>
      <c r="O131" s="966"/>
      <c r="P131" s="966"/>
      <c r="Q131" s="966"/>
      <c r="R131" s="966"/>
      <c r="S131" s="849"/>
      <c r="T131" s="849"/>
      <c r="U131" s="849"/>
      <c r="V131" s="849"/>
      <c r="W131" s="849"/>
      <c r="X131" s="849"/>
      <c r="Y131" s="1006"/>
      <c r="Z131" s="852"/>
      <c r="AA131" s="855"/>
      <c r="AB131" s="852"/>
      <c r="AC131" s="852"/>
      <c r="AD131" s="852"/>
    </row>
    <row customHeight="1" ht="9">
      <c r="A132" s="851"/>
      <c r="B132" s="851"/>
      <c r="C132" s="849"/>
      <c r="D132" s="849"/>
      <c r="E132" s="849"/>
      <c r="F132" s="849"/>
      <c r="G132" s="849"/>
      <c r="H132" s="897"/>
      <c r="I132" s="897"/>
      <c r="J132" s="897"/>
      <c r="K132" s="897"/>
      <c r="L132" s="897"/>
      <c r="M132" s="849"/>
      <c r="N132" s="896"/>
      <c r="O132" s="965"/>
      <c r="P132" s="965"/>
      <c r="Q132" s="965"/>
      <c r="R132" s="965"/>
      <c r="S132" s="849"/>
      <c r="T132" s="849"/>
      <c r="U132" s="849"/>
      <c r="V132" s="849"/>
      <c r="W132" s="849"/>
      <c r="X132" s="849"/>
      <c r="Y132" s="1006"/>
      <c r="Z132" s="852"/>
      <c r="AA132" s="855"/>
      <c r="AB132" s="852"/>
      <c r="AC132" s="852"/>
      <c r="AD132" s="852"/>
    </row>
    <row customHeight="1" ht="9">
      <c r="A133" s="851"/>
      <c r="B133" s="851"/>
      <c r="C133" s="849"/>
      <c r="D133" s="849"/>
      <c r="E133" s="849"/>
      <c r="F133" s="849"/>
      <c r="G133" s="849"/>
      <c r="H133" s="897"/>
      <c r="I133" s="897"/>
      <c r="J133" s="897"/>
      <c r="K133" s="897"/>
      <c r="L133" s="897"/>
      <c r="M133" s="849"/>
      <c r="N133" s="896"/>
      <c r="O133" s="966"/>
      <c r="P133" s="966"/>
      <c r="Q133" s="966"/>
      <c r="R133" s="966"/>
      <c r="S133" s="849"/>
      <c r="T133" s="849"/>
      <c r="U133" s="849"/>
      <c r="V133" s="849"/>
      <c r="W133" s="849"/>
      <c r="X133" s="849"/>
      <c r="Y133" s="1006"/>
      <c r="Z133" s="852"/>
      <c r="AA133" s="855"/>
      <c r="AB133" s="852"/>
      <c r="AC133" s="852"/>
      <c r="AD133" s="852"/>
    </row>
    <row customHeight="1" ht="9">
      <c r="A134" s="851"/>
      <c r="B134" s="851"/>
      <c r="C134" s="849"/>
      <c r="D134" s="849"/>
      <c r="E134" s="849"/>
      <c r="F134" s="849"/>
      <c r="G134" s="849"/>
      <c r="H134" s="897"/>
      <c r="I134" s="897"/>
      <c r="J134" s="897"/>
      <c r="K134" s="897"/>
      <c r="L134" s="897"/>
      <c r="M134" s="849"/>
      <c r="N134" s="896"/>
      <c r="O134" s="963"/>
      <c r="P134" s="963"/>
      <c r="Q134" s="963"/>
      <c r="R134" s="963"/>
      <c r="S134" s="849"/>
      <c r="T134" s="849"/>
      <c r="U134" s="849"/>
      <c r="V134" s="849"/>
      <c r="W134" s="849"/>
      <c r="X134" s="849"/>
      <c r="Y134" s="1006"/>
      <c r="Z134" s="852"/>
      <c r="AA134" s="855"/>
      <c r="AB134" s="852"/>
      <c r="AC134" s="852"/>
      <c r="AD134" s="852"/>
    </row>
    <row customHeight="1" ht="9">
      <c r="A135" s="851"/>
      <c r="B135" s="851"/>
      <c r="C135" s="849"/>
      <c r="D135" s="849"/>
      <c r="E135" s="849"/>
      <c r="F135" s="849"/>
      <c r="G135" s="849"/>
      <c r="H135" s="897"/>
      <c r="I135" s="897"/>
      <c r="J135" s="897"/>
      <c r="K135" s="897"/>
      <c r="L135" s="897"/>
      <c r="M135" s="849"/>
      <c r="N135" s="896"/>
      <c r="O135" s="963"/>
      <c r="P135" s="963"/>
      <c r="Q135" s="963"/>
      <c r="R135" s="963"/>
      <c r="S135" s="849"/>
      <c r="T135" s="849"/>
      <c r="U135" s="849"/>
      <c r="V135" s="849"/>
      <c r="W135" s="849"/>
      <c r="X135" s="849"/>
      <c r="Y135" s="1006"/>
      <c r="Z135" s="852"/>
      <c r="AA135" s="855"/>
      <c r="AB135" s="852"/>
      <c r="AC135" s="852"/>
      <c r="AD135" s="852"/>
    </row>
    <row customHeight="1" ht="9">
      <c r="A136" s="851"/>
      <c r="B136" s="851"/>
      <c r="C136" s="849"/>
      <c r="D136" s="849"/>
      <c r="E136" s="849"/>
      <c r="F136" s="849"/>
      <c r="G136" s="849"/>
      <c r="H136" s="897"/>
      <c r="I136" s="897"/>
      <c r="J136" s="897"/>
      <c r="K136" s="897"/>
      <c r="L136" s="897"/>
      <c r="M136" s="849"/>
      <c r="N136" s="896"/>
      <c r="O136" s="963"/>
      <c r="P136" s="963"/>
      <c r="Q136" s="963"/>
      <c r="R136" s="963"/>
      <c r="S136" s="849"/>
      <c r="T136" s="849"/>
      <c r="U136" s="849"/>
      <c r="V136" s="849"/>
      <c r="W136" s="849"/>
      <c r="X136" s="849"/>
      <c r="Y136" s="1006"/>
      <c r="Z136" s="852"/>
      <c r="AA136" s="855"/>
      <c r="AB136" s="852"/>
      <c r="AC136" s="852"/>
      <c r="AD136" s="852"/>
    </row>
    <row customHeight="1" ht="9">
      <c r="A137" s="851"/>
      <c r="B137" s="851"/>
      <c r="C137" s="849"/>
      <c r="D137" s="849"/>
      <c r="E137" s="849"/>
      <c r="F137" s="849"/>
      <c r="G137" s="849"/>
      <c r="H137" s="897"/>
      <c r="I137" s="897"/>
      <c r="J137" s="897"/>
      <c r="K137" s="897"/>
      <c r="L137" s="897"/>
      <c r="M137" s="849"/>
      <c r="N137" s="896"/>
      <c r="O137" s="967"/>
      <c r="P137" s="967"/>
      <c r="Q137" s="967"/>
      <c r="R137" s="967"/>
      <c r="S137" s="849"/>
      <c r="T137" s="849"/>
      <c r="U137" s="849"/>
      <c r="V137" s="849"/>
      <c r="W137" s="849"/>
      <c r="X137" s="849"/>
      <c r="Y137" s="1006"/>
      <c r="Z137" s="852"/>
      <c r="AA137" s="855"/>
      <c r="AB137" s="852"/>
      <c r="AC137" s="852"/>
      <c r="AD137" s="852"/>
    </row>
    <row customHeight="1" ht="9">
      <c r="A138" s="851"/>
      <c r="B138" s="851"/>
      <c r="C138" s="849"/>
      <c r="D138" s="849"/>
      <c r="E138" s="849"/>
      <c r="F138" s="849"/>
      <c r="G138" s="849"/>
      <c r="H138" s="897"/>
      <c r="I138" s="897"/>
      <c r="J138" s="897"/>
      <c r="K138" s="897"/>
      <c r="L138" s="897"/>
      <c r="M138" s="849"/>
      <c r="N138" s="896"/>
      <c r="O138" s="964"/>
      <c r="P138" s="964"/>
      <c r="Q138" s="964"/>
      <c r="R138" s="964"/>
      <c r="S138" s="849"/>
      <c r="T138" s="849"/>
      <c r="U138" s="849"/>
      <c r="V138" s="849"/>
      <c r="W138" s="849"/>
      <c r="X138" s="849"/>
      <c r="Y138" s="1006"/>
      <c r="Z138" s="852"/>
      <c r="AA138" s="855"/>
      <c r="AB138" s="852"/>
      <c r="AC138" s="852"/>
      <c r="AD138" s="852"/>
    </row>
    <row customHeight="1" ht="9">
      <c r="A139" s="851"/>
      <c r="B139" s="851"/>
      <c r="C139" s="849"/>
      <c r="D139" s="849"/>
      <c r="E139" s="849"/>
      <c r="F139" s="849"/>
      <c r="G139" s="849"/>
      <c r="H139" s="897"/>
      <c r="I139" s="897"/>
      <c r="J139" s="897"/>
      <c r="K139" s="897"/>
      <c r="L139" s="897"/>
      <c r="M139" s="849"/>
      <c r="N139" s="896"/>
      <c r="O139" s="849"/>
      <c r="P139" s="849"/>
      <c r="Q139" s="849"/>
      <c r="R139" s="849"/>
      <c r="S139" s="849"/>
      <c r="T139" s="849"/>
      <c r="U139" s="849"/>
      <c r="V139" s="849"/>
      <c r="W139" s="849"/>
      <c r="X139" s="849"/>
      <c r="Y139" s="1006"/>
      <c r="Z139" s="852"/>
      <c r="AA139" s="855"/>
      <c r="AB139" s="852"/>
      <c r="AC139" s="852"/>
      <c r="AD139" s="852"/>
    </row>
    <row customHeight="1" ht="9">
      <c r="A140" s="851"/>
      <c r="B140" s="851"/>
      <c r="C140" s="849"/>
      <c r="D140" s="849"/>
      <c r="E140" s="849"/>
      <c r="F140" s="849"/>
      <c r="G140" s="849"/>
      <c r="H140" s="897"/>
      <c r="I140" s="897"/>
      <c r="J140" s="897"/>
      <c r="K140" s="897"/>
      <c r="L140" s="897"/>
      <c r="M140" s="849"/>
      <c r="N140" s="896"/>
      <c r="O140" s="849"/>
      <c r="P140" s="849"/>
      <c r="Q140" s="849"/>
      <c r="R140" s="849"/>
      <c r="S140" s="849"/>
      <c r="T140" s="849"/>
      <c r="U140" s="849"/>
      <c r="V140" s="849"/>
      <c r="W140" s="849"/>
      <c r="X140" s="849"/>
      <c r="Y140" s="1006"/>
      <c r="Z140" s="852"/>
      <c r="AA140" s="855"/>
      <c r="AB140" s="852"/>
      <c r="AC140" s="852"/>
      <c r="AD140" s="852"/>
    </row>
    <row customHeight="1" ht="9">
      <c r="A141" s="851"/>
      <c r="B141" s="851"/>
      <c r="C141" s="849"/>
      <c r="D141" s="849"/>
      <c r="E141" s="849"/>
      <c r="F141" s="849"/>
      <c r="G141" s="849"/>
      <c r="H141" s="897"/>
      <c r="I141" s="897"/>
      <c r="J141" s="897"/>
      <c r="K141" s="897"/>
      <c r="L141" s="897"/>
      <c r="M141" s="849"/>
      <c r="N141" s="896"/>
      <c r="O141" s="849"/>
      <c r="P141" s="849"/>
      <c r="Q141" s="849"/>
      <c r="R141" s="849"/>
      <c r="S141" s="849"/>
      <c r="T141" s="849"/>
      <c r="U141" s="849"/>
      <c r="V141" s="849"/>
      <c r="W141" s="849"/>
      <c r="X141" s="849"/>
      <c r="Y141" s="1006"/>
      <c r="Z141" s="852"/>
      <c r="AA141" s="855"/>
      <c r="AB141" s="852"/>
      <c r="AC141" s="852"/>
      <c r="AD141" s="852"/>
    </row>
    <row customHeight="1" ht="9">
      <c r="A142" s="851"/>
      <c r="B142" s="851"/>
      <c r="C142" s="849"/>
      <c r="D142" s="849"/>
      <c r="E142" s="849"/>
      <c r="F142" s="849"/>
      <c r="G142" s="849"/>
      <c r="H142" s="897"/>
      <c r="I142" s="897"/>
      <c r="J142" s="897"/>
      <c r="K142" s="897"/>
      <c r="L142" s="897"/>
      <c r="M142" s="849"/>
      <c r="N142" s="896"/>
      <c r="O142" s="849"/>
      <c r="P142" s="849"/>
      <c r="Q142" s="849"/>
      <c r="R142" s="849"/>
      <c r="S142" s="849"/>
      <c r="T142" s="849"/>
      <c r="U142" s="849"/>
      <c r="V142" s="849"/>
      <c r="W142" s="849"/>
      <c r="X142" s="849"/>
      <c r="Y142" s="1006"/>
      <c r="Z142" s="852"/>
      <c r="AA142" s="855"/>
      <c r="AB142" s="852"/>
      <c r="AC142" s="852"/>
      <c r="AD142" s="852"/>
    </row>
    <row customHeight="1" ht="9">
      <c r="A143" s="851"/>
      <c r="B143" s="851"/>
      <c r="C143" s="849"/>
      <c r="D143" s="849"/>
      <c r="E143" s="849"/>
      <c r="F143" s="849"/>
      <c r="G143" s="849"/>
      <c r="H143" s="897"/>
      <c r="I143" s="897"/>
      <c r="J143" s="897"/>
      <c r="K143" s="897"/>
      <c r="L143" s="897"/>
      <c r="M143" s="849"/>
      <c r="N143" s="896"/>
      <c r="O143" s="849"/>
      <c r="P143" s="849"/>
      <c r="Q143" s="849"/>
      <c r="R143" s="849"/>
      <c r="S143" s="849"/>
      <c r="T143" s="849"/>
      <c r="U143" s="849"/>
      <c r="V143" s="849"/>
      <c r="W143" s="849"/>
      <c r="X143" s="849"/>
      <c r="Y143" s="1006"/>
      <c r="Z143" s="852"/>
      <c r="AA143" s="855"/>
      <c r="AB143" s="852"/>
      <c r="AC143" s="852"/>
      <c r="AD143" s="852"/>
    </row>
    <row customHeight="1" ht="9">
      <c r="A144" s="851"/>
      <c r="B144" s="851"/>
      <c r="C144" s="849"/>
      <c r="D144" s="849"/>
      <c r="E144" s="849"/>
      <c r="F144" s="849"/>
      <c r="G144" s="849"/>
      <c r="H144" s="897"/>
      <c r="I144" s="897"/>
      <c r="J144" s="897"/>
      <c r="K144" s="897"/>
      <c r="L144" s="897"/>
      <c r="M144" s="849"/>
      <c r="N144" s="896"/>
      <c r="O144" s="849"/>
      <c r="P144" s="849"/>
      <c r="Q144" s="849"/>
      <c r="R144" s="849"/>
      <c r="S144" s="849"/>
      <c r="T144" s="849"/>
      <c r="U144" s="849"/>
      <c r="V144" s="849"/>
      <c r="W144" s="849"/>
      <c r="X144" s="849"/>
      <c r="Y144" s="1006"/>
      <c r="Z144" s="852"/>
      <c r="AA144" s="855"/>
      <c r="AB144" s="852"/>
      <c r="AC144" s="852"/>
      <c r="AD144" s="852"/>
    </row>
    <row customHeight="1" ht="9">
      <c r="A145" s="851"/>
      <c r="B145" s="851"/>
      <c r="C145" s="849"/>
      <c r="D145" s="849"/>
      <c r="E145" s="849"/>
      <c r="F145" s="849"/>
      <c r="G145" s="849"/>
      <c r="H145" s="897"/>
      <c r="I145" s="897"/>
      <c r="J145" s="897"/>
      <c r="K145" s="897"/>
      <c r="L145" s="897"/>
      <c r="M145" s="849"/>
      <c r="N145" s="896"/>
      <c r="O145" s="849"/>
      <c r="P145" s="849"/>
      <c r="Q145" s="849"/>
      <c r="R145" s="849"/>
      <c r="S145" s="849"/>
      <c r="T145" s="849"/>
      <c r="U145" s="849"/>
      <c r="V145" s="849"/>
      <c r="W145" s="849"/>
      <c r="X145" s="849"/>
      <c r="Y145" s="1006"/>
      <c r="Z145" s="852"/>
      <c r="AA145" s="855"/>
      <c r="AB145" s="852"/>
      <c r="AC145" s="852"/>
      <c r="AD145" s="852"/>
    </row>
    <row customHeight="1" ht="9">
      <c r="A146" s="851"/>
      <c r="B146" s="851"/>
      <c r="C146" s="849"/>
      <c r="D146" s="849"/>
      <c r="E146" s="849"/>
      <c r="F146" s="849"/>
      <c r="G146" s="849"/>
      <c r="H146" s="897"/>
      <c r="I146" s="897"/>
      <c r="J146" s="897"/>
      <c r="K146" s="897"/>
      <c r="L146" s="897"/>
      <c r="M146" s="849"/>
      <c r="N146" s="896"/>
      <c r="O146" s="849"/>
      <c r="P146" s="849"/>
      <c r="Q146" s="849"/>
      <c r="R146" s="849"/>
      <c r="S146" s="849"/>
      <c r="T146" s="849"/>
      <c r="U146" s="849"/>
      <c r="V146" s="849"/>
      <c r="W146" s="849"/>
      <c r="X146" s="849"/>
      <c r="Y146" s="1006"/>
      <c r="Z146" s="852"/>
      <c r="AA146" s="855"/>
      <c r="AB146" s="852"/>
      <c r="AC146" s="852"/>
      <c r="AD146" s="852"/>
    </row>
    <row customHeight="1" ht="9">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customHeight="1" ht="90">
      <c r="A148" s="851" t="s">
        <v>1702</v>
      </c>
      <c r="B148" s="851"/>
      <c r="C148" s="849" t="s">
        <v>2264</v>
      </c>
      <c r="D148" s="849" t="s">
        <v>1603</v>
      </c>
      <c r="E148" s="849" t="s">
        <v>1704</v>
      </c>
      <c r="F148" s="849" t="s">
        <v>2265</v>
      </c>
      <c r="G148" s="849"/>
      <c r="H148" s="849"/>
      <c r="I148" s="969"/>
      <c r="J148" s="969"/>
      <c r="K148" s="969"/>
      <c r="L148" s="969"/>
      <c r="M148" s="89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4"/>
      <c r="O148" s="849"/>
      <c r="P148" s="850"/>
      <c r="Q148" s="850"/>
      <c r="R148" s="850"/>
      <c r="S148" s="849"/>
      <c r="T148" s="849" t="s">
        <v>2266</v>
      </c>
      <c r="U148" s="8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50"/>
      <c r="W148" s="850"/>
      <c r="X148" s="849" t="s">
        <v>2267</v>
      </c>
      <c r="Y148" s="1006"/>
      <c r="Z148" s="852"/>
      <c r="AA148" s="855"/>
      <c r="AB148" s="852"/>
      <c r="AC148" s="852"/>
      <c r="AD148" s="852"/>
    </row>
    <row customHeight="1" ht="9">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row>
    <row customHeight="1" ht="9">
      <c r="A150" s="851" t="s">
        <v>1706</v>
      </c>
      <c r="B150" s="851"/>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1006"/>
      <c r="Z150" s="852"/>
      <c r="AA150" s="855"/>
      <c r="AB150" s="852"/>
      <c r="AC150" s="852"/>
      <c r="AD150" s="852"/>
    </row>
    <row customHeight="1" ht="9">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row>
    <row customHeight="1" ht="9">
      <c r="A152" s="851" t="s">
        <v>1709</v>
      </c>
      <c r="B152" s="851"/>
      <c r="C152" s="849"/>
      <c r="D152" s="849"/>
      <c r="E152" s="849"/>
      <c r="F152" s="849"/>
      <c r="G152" s="849"/>
      <c r="H152" s="849"/>
      <c r="I152" s="849"/>
      <c r="J152" s="849"/>
      <c r="K152" s="849"/>
      <c r="L152" s="849"/>
      <c r="M152" s="849"/>
      <c r="N152" s="849"/>
      <c r="O152" s="849"/>
      <c r="P152" s="849"/>
      <c r="Q152" s="849"/>
      <c r="R152" s="849"/>
      <c r="S152" s="849"/>
      <c r="T152" s="849"/>
      <c r="U152" s="849"/>
      <c r="V152" s="849"/>
      <c r="W152" s="849"/>
      <c r="X152" s="849"/>
      <c r="Y152" s="1006"/>
      <c r="Z152" s="852"/>
      <c r="AA152" s="855"/>
      <c r="AB152" s="852"/>
      <c r="AC152" s="852"/>
      <c r="AD152" s="852"/>
    </row>
    <row customHeight="1" ht="9">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1"/>
      <c r="AB153" s="851"/>
      <c r="AC153" s="851"/>
      <c r="AD153" s="851"/>
    </row>
    <row customHeight="1" ht="9">
      <c r="A154" s="851" t="s">
        <v>1714</v>
      </c>
      <c r="B154" s="851"/>
      <c r="C154" s="849"/>
      <c r="D154" s="849"/>
      <c r="E154" s="849"/>
      <c r="F154" s="849"/>
      <c r="G154" s="849"/>
      <c r="H154" s="849"/>
      <c r="I154" s="849"/>
      <c r="J154" s="849"/>
      <c r="K154" s="849"/>
      <c r="L154" s="849"/>
      <c r="M154" s="849"/>
      <c r="N154" s="849"/>
      <c r="O154" s="849"/>
      <c r="P154" s="849"/>
      <c r="Q154" s="849"/>
      <c r="R154" s="849"/>
      <c r="S154" s="849"/>
      <c r="T154" s="849"/>
      <c r="U154" s="849"/>
      <c r="V154" s="849"/>
      <c r="W154" s="849"/>
      <c r="X154" s="849"/>
      <c r="Y154" s="1006"/>
      <c r="Z154" s="852"/>
      <c r="AA154" s="855"/>
      <c r="AB154" s="852"/>
      <c r="AC154" s="852"/>
      <c r="AD154" s="852"/>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08120C-D528-383A-F63E-7BAC3D0AB391}"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2.28125" hidden="1" customWidth="1"/>
    <col min="6" max="8" style="1782" width="12.28125" hidden="1" customWidth="1"/>
    <col min="9" max="9" style="2403" width="3.00390625" customWidth="1"/>
    <col min="10" max="11" style="350" width="3.00390625" customWidth="1"/>
    <col min="12" max="12" style="2413" width="12.00390625" customWidth="1"/>
    <col min="13" max="13" style="1641" width="31.00390625" customWidth="1"/>
    <col min="14" max="14" style="1641" width="1.00390625" customWidth="1"/>
    <col min="15" max="18" style="1641" width="24.00390625" customWidth="1"/>
    <col min="19" max="19" style="1641" width="11.00390625" customWidth="1"/>
    <col min="20" max="20" style="1641" width="3.7109375" customWidth="1"/>
    <col min="21" max="21" style="1641" width="11.00390625" customWidth="1"/>
    <col min="22" max="22" style="1641" width="8.57421875" customWidth="1"/>
    <col min="23" max="23" style="1641" width="4.00390625" customWidth="1"/>
    <col min="24" max="24" style="1641" width="115.00390625" customWidth="1"/>
    <col min="25" max="29" style="1648" width="10.00390625" customWidth="1"/>
    <col min="30" max="30" style="1641" width="10.57421875" hidden="1"/>
  </cols>
  <sheetData>
    <row customHeight="1" ht="22.5" hidden="1">
      <c r="R1" s="333"/>
      <c r="S1" s="333"/>
      <c r="AD1" s="1161" t="s">
        <v>14</v>
      </c>
    </row>
    <row customHeight="1" ht="14.25" hidden="1">
      <c r="V2" s="333"/>
      <c r="AD2" s="1161">
        <v>0</v>
      </c>
    </row>
    <row customHeight="1" ht="14.25" hidden="1">
      <c r="AD3" s="1161">
        <v>0</v>
      </c>
    </row>
    <row customHeight="1" ht="14.699999999999998">
      <c r="J4" s="382"/>
      <c r="K4" s="382"/>
      <c r="L4" s="1281"/>
      <c r="M4" s="369"/>
      <c r="N4" s="369"/>
      <c r="O4" s="515"/>
      <c r="P4" s="515"/>
      <c r="Q4" s="515"/>
      <c r="R4" s="515"/>
      <c r="S4" s="515"/>
      <c r="T4" s="515"/>
      <c r="U4" s="515"/>
      <c r="V4" s="515"/>
      <c r="AD4" s="1161">
        <v>14</v>
      </c>
    </row>
    <row customHeight="1" ht="67.2">
      <c r="J5" s="382"/>
      <c r="K5" s="382"/>
      <c r="L5" s="2609" t="s">
        <v>2268</v>
      </c>
      <c r="M5" s="2609"/>
      <c r="N5" s="2609"/>
      <c r="O5" s="2609"/>
      <c r="P5" s="2609"/>
      <c r="Q5" s="2609"/>
      <c r="R5" s="2609"/>
      <c r="S5" s="2609"/>
      <c r="T5" s="2609"/>
      <c r="U5" s="2609"/>
      <c r="V5" s="1249"/>
      <c r="AD5" s="1161">
        <v>64</v>
      </c>
    </row>
    <row customHeight="1" ht="14.699999999999998">
      <c r="J6" s="382"/>
      <c r="K6" s="382"/>
      <c r="L6" s="2610" t="str">
        <f>IF(org=0,"Не определено",org)</f>
        <v>АО «ДГК» СП «Нерюнгринская ГРЭС»</v>
      </c>
      <c r="M6" s="2610"/>
      <c r="N6" s="2610"/>
      <c r="O6" s="2610"/>
      <c r="P6" s="2610"/>
      <c r="Q6" s="2610"/>
      <c r="R6" s="2610"/>
      <c r="S6" s="2610"/>
      <c r="T6" s="2610"/>
      <c r="U6" s="2610"/>
      <c r="V6" s="1249"/>
      <c r="AD6" s="1161">
        <v>14</v>
      </c>
    </row>
    <row customHeight="1" ht="14.699999999999998">
      <c r="J7" s="382"/>
      <c r="K7" s="382"/>
      <c r="L7" s="1281"/>
      <c r="M7" s="369"/>
      <c r="N7" s="369"/>
      <c r="O7" s="328"/>
      <c r="P7" s="328"/>
      <c r="Q7" s="328"/>
      <c r="R7" s="328"/>
      <c r="S7" s="328"/>
      <c r="T7" s="328"/>
      <c r="U7" s="328"/>
      <c r="V7" s="328"/>
      <c r="W7" s="515"/>
      <c r="AD7" s="1161">
        <v>14</v>
      </c>
    </row>
    <row s="1859" customFormat="1" customHeight="1" ht="48.29999999999999">
      <c r="A8" s="1374"/>
      <c r="B8" s="1374"/>
      <c r="C8" s="1374"/>
      <c r="D8" s="1374"/>
      <c r="E8" s="1374"/>
      <c r="F8" s="1374"/>
      <c r="G8" s="1374"/>
      <c r="H8" s="1374"/>
      <c r="L8" s="1282"/>
      <c r="M8" s="301" t="s">
        <v>42</v>
      </c>
      <c r="N8" s="310"/>
      <c r="O8" s="2257" t="str">
        <f>IF(TITLE_NAME_OR_PR_CHANGE="",IF(TITLE_NAME_OR_PR="","",TITLE_NAME_OR_PR),TITLE_NAME_OR_PR_CHANGE)</f>
        <v>Государственный комитет по ценовой политике Республики Саха (Якутия)</v>
      </c>
      <c r="P8" s="2257"/>
      <c r="Q8" s="2257"/>
      <c r="R8" s="2257"/>
      <c r="S8" s="2257"/>
      <c r="T8" s="2257"/>
      <c r="U8" s="2257"/>
      <c r="V8" s="332"/>
      <c r="W8" s="332"/>
      <c r="X8" s="286"/>
      <c r="Y8" s="374"/>
      <c r="Z8" s="374"/>
      <c r="AA8" s="374"/>
      <c r="AB8" s="374"/>
      <c r="AC8" s="374"/>
      <c r="AD8" s="424">
        <v>46</v>
      </c>
    </row>
    <row s="1859" customFormat="1" customHeight="1" ht="24">
      <c r="A9" s="1374"/>
      <c r="B9" s="1374"/>
      <c r="C9" s="1374"/>
      <c r="D9" s="1374"/>
      <c r="E9" s="1374"/>
      <c r="F9" s="1374"/>
      <c r="G9" s="1374"/>
      <c r="H9" s="1374"/>
      <c r="L9" s="1282"/>
      <c r="M9" s="301" t="s">
        <v>437</v>
      </c>
      <c r="N9" s="310"/>
      <c r="O9" s="2257" t="str">
        <f>IF(TITLE_DATE_CHANGE_PERIOD="",IF(TITLE_DATE_PR="","",TITLE_DATE_PR),TITLE_DATE_CHANGE_PERIOD)</f>
        <v>46003.502546296295</v>
      </c>
      <c r="P9" s="2257"/>
      <c r="Q9" s="2257"/>
      <c r="R9" s="2257"/>
      <c r="S9" s="2257"/>
      <c r="T9" s="2257"/>
      <c r="U9" s="2257"/>
      <c r="V9" s="332"/>
      <c r="W9" s="332"/>
      <c r="X9" s="286"/>
      <c r="Y9" s="374"/>
      <c r="Z9" s="374"/>
      <c r="AA9" s="374"/>
      <c r="AB9" s="374"/>
      <c r="AC9" s="374"/>
      <c r="AD9" s="424">
        <v>23</v>
      </c>
    </row>
    <row s="1859" customFormat="1" customHeight="1" ht="24">
      <c r="A10" s="1374"/>
      <c r="B10" s="1374"/>
      <c r="C10" s="1374"/>
      <c r="D10" s="1374"/>
      <c r="E10" s="1374"/>
      <c r="F10" s="1374"/>
      <c r="G10" s="1374"/>
      <c r="H10" s="1374"/>
      <c r="L10" s="1256"/>
      <c r="M10" s="301" t="s">
        <v>438</v>
      </c>
      <c r="N10" s="310"/>
      <c r="O10" s="2257" t="str">
        <f>IF(TITLE_NUMBER_PR_CHANGE="",IF(TITLE_NUMBER_PR="","",TITLE_NUMBER_PR),TITLE_NUMBER_PR_CHANGE)</f>
        <v>№ 222</v>
      </c>
      <c r="P10" s="2257"/>
      <c r="Q10" s="2257"/>
      <c r="R10" s="2257"/>
      <c r="S10" s="2257"/>
      <c r="T10" s="2257"/>
      <c r="U10" s="2257"/>
      <c r="V10" s="332"/>
      <c r="W10" s="332"/>
      <c r="X10" s="286"/>
      <c r="Y10" s="374"/>
      <c r="Z10" s="374"/>
      <c r="AA10" s="374"/>
      <c r="AB10" s="374"/>
      <c r="AC10" s="374"/>
      <c r="AD10" s="424">
        <v>23</v>
      </c>
    </row>
    <row s="1859" customFormat="1" customHeight="1" ht="24">
      <c r="A11" s="1374"/>
      <c r="B11" s="1374"/>
      <c r="C11" s="1374"/>
      <c r="D11" s="1374"/>
      <c r="E11" s="1374"/>
      <c r="F11" s="1374"/>
      <c r="G11" s="1374"/>
      <c r="H11" s="1374"/>
      <c r="L11" s="1256"/>
      <c r="M11" s="301" t="s">
        <v>44</v>
      </c>
      <c r="N11" s="310"/>
      <c r="O11" s="2257" t="str">
        <f>IF(TITLE_IST_PUB_CHANGE="",IF(TITLE_IST_PUB="","",TITLE_IST_PUB),TITLE_IST_PUB_CHANGE)</f>
        <v>Официальный интернет-портал правовой информации http://pravo.gov.ru/ </v>
      </c>
      <c r="P11" s="2257"/>
      <c r="Q11" s="2257"/>
      <c r="R11" s="2257"/>
      <c r="S11" s="2257"/>
      <c r="T11" s="2257"/>
      <c r="U11" s="2257"/>
      <c r="V11" s="332"/>
      <c r="W11" s="332"/>
      <c r="X11" s="286"/>
      <c r="Y11" s="374"/>
      <c r="Z11" s="374"/>
      <c r="AA11" s="374"/>
      <c r="AB11" s="374"/>
      <c r="AC11" s="374"/>
      <c r="AD11" s="424">
        <v>23</v>
      </c>
    </row>
    <row s="1859" customFormat="1" customHeight="1" ht="11.25" hidden="1">
      <c r="A12" s="1374"/>
      <c r="B12" s="1374"/>
      <c r="C12" s="1374"/>
      <c r="D12" s="1374"/>
      <c r="E12" s="1374"/>
      <c r="F12" s="1374"/>
      <c r="G12" s="1374"/>
      <c r="H12" s="1374"/>
      <c r="L12" s="2611"/>
      <c r="M12" s="2611"/>
      <c r="N12" s="1293"/>
      <c r="O12" s="332"/>
      <c r="P12" s="332"/>
      <c r="Q12" s="332"/>
      <c r="R12" s="332"/>
      <c r="S12" s="332"/>
      <c r="T12" s="332"/>
      <c r="U12" s="332"/>
      <c r="V12" s="284" t="s">
        <v>441</v>
      </c>
      <c r="Y12" s="374"/>
      <c r="Z12" s="374"/>
      <c r="AA12" s="374"/>
      <c r="AB12" s="374"/>
      <c r="AC12" s="374"/>
      <c r="AD12" s="424">
        <v>0</v>
      </c>
    </row>
    <row customHeight="1" ht="14.699999999999998">
      <c r="J13" s="382"/>
      <c r="K13" s="382"/>
      <c r="L13" s="1281"/>
      <c r="M13" s="369"/>
      <c r="N13" s="1250"/>
      <c r="O13" s="2258"/>
      <c r="P13" s="2258"/>
      <c r="Q13" s="2258"/>
      <c r="R13" s="2258"/>
      <c r="S13" s="2258"/>
      <c r="T13" s="2258"/>
      <c r="U13" s="2258"/>
      <c r="V13" s="2258"/>
      <c r="AD13" s="1161">
        <v>14</v>
      </c>
    </row>
    <row customHeight="1" ht="14.699999999999998">
      <c r="J14" s="382"/>
      <c r="K14" s="382"/>
      <c r="L14" s="2133" t="s">
        <v>316</v>
      </c>
      <c r="M14" s="2133"/>
      <c r="N14" s="2133"/>
      <c r="O14" s="2133"/>
      <c r="P14" s="2133"/>
      <c r="Q14" s="2133"/>
      <c r="R14" s="2133"/>
      <c r="S14" s="2133"/>
      <c r="T14" s="2133"/>
      <c r="U14" s="2133"/>
      <c r="V14" s="2133"/>
      <c r="W14" s="2133"/>
      <c r="X14" s="2133" t="s">
        <v>317</v>
      </c>
      <c r="AD14" s="1161">
        <v>14</v>
      </c>
    </row>
    <row customHeight="1" ht="14.699999999999998">
      <c r="J15" s="382"/>
      <c r="K15" s="382"/>
      <c r="L15" s="2279" t="s">
        <v>89</v>
      </c>
      <c r="M15" s="2215" t="s">
        <v>442</v>
      </c>
      <c r="N15" s="307"/>
      <c r="O15" s="2280" t="s">
        <v>2269</v>
      </c>
      <c r="P15" s="2281"/>
      <c r="Q15" s="2281"/>
      <c r="R15" s="2281"/>
      <c r="S15" s="2281"/>
      <c r="T15" s="2281"/>
      <c r="U15" s="2282"/>
      <c r="V15" s="2283" t="s">
        <v>444</v>
      </c>
      <c r="W15" s="2286" t="s">
        <v>1191</v>
      </c>
      <c r="X15" s="2133"/>
      <c r="AD15" s="1161">
        <v>14</v>
      </c>
    </row>
    <row customHeight="1" ht="35.699999999999996">
      <c r="J16" s="382"/>
      <c r="K16" s="382"/>
      <c r="L16" s="2279"/>
      <c r="M16" s="2215"/>
      <c r="N16" s="1037"/>
      <c r="O16" s="2266" t="s">
        <v>447</v>
      </c>
      <c r="P16" s="2266" t="s">
        <v>448</v>
      </c>
      <c r="Q16" s="2268" t="s">
        <v>449</v>
      </c>
      <c r="R16" s="2269"/>
      <c r="S16" s="2268" t="s">
        <v>462</v>
      </c>
      <c r="T16" s="2275"/>
      <c r="U16" s="2269"/>
      <c r="V16" s="2284"/>
      <c r="W16" s="2287"/>
      <c r="X16" s="2133"/>
      <c r="AD16" s="1161">
        <v>34</v>
      </c>
    </row>
    <row customHeight="1" ht="35.699999999999996">
      <c r="A17" s="1376" t="s">
        <v>136</v>
      </c>
      <c r="B17" s="1376" t="s">
        <v>137</v>
      </c>
      <c r="C17" s="1376" t="s">
        <v>138</v>
      </c>
      <c r="D17" s="1376" t="s">
        <v>139</v>
      </c>
      <c r="E17" s="1376"/>
      <c r="J17" s="382"/>
      <c r="K17" s="382"/>
      <c r="L17" s="2279"/>
      <c r="M17" s="2215"/>
      <c r="N17" s="308"/>
      <c r="O17" s="2267"/>
      <c r="P17" s="2267"/>
      <c r="Q17" s="1228" t="s">
        <v>458</v>
      </c>
      <c r="R17" s="1228" t="s">
        <v>459</v>
      </c>
      <c r="S17" s="1298" t="s">
        <v>460</v>
      </c>
      <c r="T17" s="2276" t="s">
        <v>461</v>
      </c>
      <c r="U17" s="2277"/>
      <c r="V17" s="2285"/>
      <c r="W17" s="2288"/>
      <c r="X17" s="2133"/>
      <c r="AD17" s="1161">
        <v>34</v>
      </c>
    </row>
    <row s="1647" customFormat="1" customHeight="1" ht="11.549999999999999">
      <c r="A18" s="1376"/>
      <c r="B18" s="1376"/>
      <c r="C18" s="1376"/>
      <c r="D18" s="1376"/>
      <c r="E18" s="1376"/>
      <c r="F18" s="1368"/>
      <c r="G18" s="1368"/>
      <c r="H18" s="1368"/>
      <c r="I18" s="1252"/>
      <c r="J18" s="1253"/>
      <c r="K18" s="1260">
        <v>1</v>
      </c>
      <c r="L18" s="1283" t="s">
        <v>111</v>
      </c>
      <c r="M18" s="1261" t="s">
        <v>112</v>
      </c>
      <c r="N18" s="1251" t="str">
        <f>OFFSET(N18,0,-1)</f>
        <v>2</v>
      </c>
      <c r="O18" s="1295">
        <f>OFFSET(O18,0,-1)+1</f>
        <v>3</v>
      </c>
      <c r="P18" s="1295"/>
      <c r="Q18" s="1295">
        <f>OFFSET(Q18,0,-1)+1</f>
        <v>1</v>
      </c>
      <c r="R18" s="1295">
        <f>OFFSET(R18,0,-1)+1</f>
        <v>2</v>
      </c>
      <c r="S18" s="1295">
        <f>OFFSET(S18,0,-1)+1</f>
        <v>3</v>
      </c>
      <c r="T18" s="2278">
        <f>OFFSET(T18,0,-1)+1</f>
        <v>4</v>
      </c>
      <c r="U18" s="2278"/>
      <c r="V18" s="1295">
        <f>OFFSET(V18,0,-2)+1</f>
        <v>5</v>
      </c>
      <c r="W18" s="1251">
        <f>OFFSET(W18,0,-1)</f>
        <v>5</v>
      </c>
      <c r="X18" s="1295">
        <f>OFFSET(X18,0,-1)+1</f>
        <v>6</v>
      </c>
      <c r="Y18" s="517"/>
      <c r="Z18" s="517"/>
      <c r="AA18" s="517"/>
      <c r="AB18" s="517"/>
      <c r="AC18" s="517"/>
      <c r="AD18" s="502">
        <v>11</v>
      </c>
    </row>
    <row customHeight="1" ht="21">
      <c r="A19" s="1369" t="s">
        <v>170</v>
      </c>
      <c r="B19" s="1369" t="s">
        <v>171</v>
      </c>
      <c r="C19" s="1369" t="s">
        <v>172</v>
      </c>
      <c r="D19" s="1369" t="s">
        <v>173</v>
      </c>
      <c r="E19" s="1369"/>
      <c r="F19" s="1371"/>
      <c r="G19" s="1371"/>
      <c r="H19" s="1371"/>
      <c r="I19" s="367"/>
      <c r="J19" s="366"/>
      <c r="K19" s="361"/>
      <c r="L19" s="1299">
        <f>INDEX(PT_DIFFERENTIATION_NUM_NTAR,MATCH(A19,PT_DIFFERENTIATION_NTAR_ID,0))</f>
        <v>0</v>
      </c>
      <c r="M19" s="304" t="s">
        <v>125</v>
      </c>
      <c r="N19" s="306"/>
      <c r="O19" s="2612" t="str">
        <f>INDEX(PT_DIFFERENTIATION_NTAR,MATCH(A19,PT_DIFFERENTIATION_NTAR_ID,0))</f>
        <v/>
      </c>
      <c r="P19" s="2612"/>
      <c r="Q19" s="2612"/>
      <c r="R19" s="2612"/>
      <c r="S19" s="2612"/>
      <c r="T19" s="2612"/>
      <c r="U19" s="2612"/>
      <c r="V19" s="2612"/>
      <c r="W19" s="2612"/>
      <c r="X19" s="1264" t="s">
        <v>412</v>
      </c>
      <c r="Z19" s="506"/>
      <c r="AA19" s="506" t="str">
        <f>IF(M19="","",M19)</f>
        <v>Наименование тарифа</v>
      </c>
      <c r="AB19" s="506"/>
      <c r="AC19" s="506"/>
      <c r="AD19" s="1161">
        <v>20</v>
      </c>
    </row>
    <row customHeight="1" ht="21">
      <c r="A20" s="1369" t="s">
        <v>170</v>
      </c>
      <c r="B20" s="1369" t="s">
        <v>171</v>
      </c>
      <c r="C20" s="1369" t="s">
        <v>172</v>
      </c>
      <c r="D20" s="1369" t="s">
        <v>173</v>
      </c>
      <c r="E20" s="1369"/>
      <c r="F20" s="1371"/>
      <c r="G20" s="1371"/>
      <c r="H20" s="1371"/>
      <c r="I20" s="1296"/>
      <c r="J20" s="358"/>
      <c r="K20" s="359"/>
      <c r="L20" s="1299" t="str">
        <f>INDEX(PT_DIFFERENTIATION_NUM_TER,MATCH(B19,PT_DIFFERENTIATION_TER_ID,0))</f>
        <v>.</v>
      </c>
      <c r="M20" s="314" t="s">
        <v>413</v>
      </c>
      <c r="N20" s="306"/>
      <c r="O20" s="2612" t="str">
        <f>INDEX(PT_DIFFERENTIATION_TER,MATCH(B19,PT_DIFFERENTIATION_TER_ID,0))</f>
        <v/>
      </c>
      <c r="P20" s="2612"/>
      <c r="Q20" s="2612"/>
      <c r="R20" s="2612"/>
      <c r="S20" s="2612"/>
      <c r="T20" s="2612"/>
      <c r="U20" s="2612"/>
      <c r="V20" s="2612"/>
      <c r="W20" s="2612"/>
      <c r="X20" s="1264" t="s">
        <v>414</v>
      </c>
      <c r="Z20" s="506"/>
      <c r="AA20" s="506" t="str">
        <f>IF(M20="","",M20)</f>
        <v>Территория действия тарифа</v>
      </c>
      <c r="AB20" s="506"/>
      <c r="AC20" s="506"/>
      <c r="AD20" s="1161">
        <v>20</v>
      </c>
    </row>
    <row customHeight="1" ht="24">
      <c r="A21" s="1369" t="s">
        <v>170</v>
      </c>
      <c r="B21" s="1369" t="s">
        <v>171</v>
      </c>
      <c r="C21" s="1369" t="s">
        <v>172</v>
      </c>
      <c r="D21" s="1369" t="s">
        <v>173</v>
      </c>
      <c r="E21" s="1369"/>
      <c r="F21" s="1371"/>
      <c r="G21" s="1371"/>
      <c r="H21" s="1371"/>
      <c r="I21" s="360"/>
      <c r="J21" s="358"/>
      <c r="K21" s="359"/>
      <c r="L21" s="1299" t="str">
        <f>INDEX(PT_DIFFERENTIATION_NUM_CS,MATCH(C19,PT_DIFFERENTIATION_CS_ID,0))</f>
        <v>..</v>
      </c>
      <c r="M21" s="315" t="s">
        <v>415</v>
      </c>
      <c r="N21" s="306"/>
      <c r="O21" s="2612" t="str">
        <f>INDEX(PT_DIFFERENTIATION_CS,MATCH(C19,PT_DIFFERENTIATION_CS_ID,0))</f>
        <v/>
      </c>
      <c r="P21" s="2612"/>
      <c r="Q21" s="2612"/>
      <c r="R21" s="2612"/>
      <c r="S21" s="2612"/>
      <c r="T21" s="2612"/>
      <c r="U21" s="2612"/>
      <c r="V21" s="2612"/>
      <c r="W21" s="2612"/>
      <c r="X21" s="1264" t="s">
        <v>416</v>
      </c>
      <c r="Z21" s="506"/>
      <c r="AA21" s="506" t="str">
        <f>IF(M21="","",M21)</f>
        <v>Наименование системы теплоснабжения </v>
      </c>
      <c r="AB21" s="506"/>
      <c r="AC21" s="506"/>
      <c r="AD21" s="1161">
        <v>23</v>
      </c>
    </row>
    <row customHeight="1" ht="21">
      <c r="A22" s="1369" t="s">
        <v>170</v>
      </c>
      <c r="B22" s="1369" t="s">
        <v>171</v>
      </c>
      <c r="C22" s="1369" t="s">
        <v>172</v>
      </c>
      <c r="D22" s="1369" t="s">
        <v>173</v>
      </c>
      <c r="E22" s="1369"/>
      <c r="F22" s="1371"/>
      <c r="G22" s="1371"/>
      <c r="H22" s="1371"/>
      <c r="I22" s="360"/>
      <c r="J22" s="358"/>
      <c r="K22" s="359"/>
      <c r="L22" s="1299" t="str">
        <f>INDEX(PT_DIFFERENTIATION_NUM_IST_TE,MATCH(D19,PT_DIFFERENTIATION_IST_TE_ID,0))</f>
        <v>...</v>
      </c>
      <c r="M22" s="316" t="s">
        <v>417</v>
      </c>
      <c r="N22" s="306"/>
      <c r="O22" s="2612" t="str">
        <f>INDEX(PT_DIFFERENTIATION_IST_TE,MATCH(D19,PT_DIFFERENTIATION_IST_TE_ID,0))</f>
        <v/>
      </c>
      <c r="P22" s="2612"/>
      <c r="Q22" s="2612"/>
      <c r="R22" s="2612"/>
      <c r="S22" s="2612"/>
      <c r="T22" s="2612"/>
      <c r="U22" s="2612"/>
      <c r="V22" s="2612"/>
      <c r="W22" s="2612"/>
      <c r="X22" s="1264" t="s">
        <v>418</v>
      </c>
      <c r="Z22" s="506"/>
      <c r="AA22" s="506" t="str">
        <f>IF(M22="","",M22)</f>
        <v>Источник тепловой энергии  </v>
      </c>
      <c r="AB22" s="506"/>
      <c r="AC22" s="506"/>
      <c r="AD22" s="1161">
        <v>20</v>
      </c>
    </row>
    <row customHeight="1" ht="96.75">
      <c r="A23" s="1369" t="s">
        <v>170</v>
      </c>
      <c r="B23" s="1369" t="s">
        <v>171</v>
      </c>
      <c r="C23" s="1369" t="s">
        <v>172</v>
      </c>
      <c r="D23" s="1369" t="s">
        <v>173</v>
      </c>
      <c r="E23" s="1369"/>
      <c r="F23" s="2613" t="str">
        <f>L22&amp;".1"</f>
        <v>....1</v>
      </c>
      <c r="I23" s="2263">
        <v>1</v>
      </c>
      <c r="J23" s="1297"/>
      <c r="K23" s="362"/>
      <c r="L23" s="1299" t="str">
        <f>$F$23</f>
        <v>....1</v>
      </c>
      <c r="M23" s="291" t="s">
        <v>420</v>
      </c>
      <c r="N23" s="306"/>
      <c r="O23" s="2311"/>
      <c r="P23" s="2311"/>
      <c r="Q23" s="2311"/>
      <c r="R23" s="2311"/>
      <c r="S23" s="2311"/>
      <c r="T23" s="2311"/>
      <c r="U23" s="2311"/>
      <c r="V23" s="2311"/>
      <c r="W23" s="2311"/>
      <c r="X23" s="1264" t="s">
        <v>421</v>
      </c>
      <c r="Z23" s="506"/>
      <c r="AA23" s="506" t="str">
        <f>IF(M23="","",M23)</f>
        <v>Схема подключения теплопотребляющей установки к коллектору источника тепловой энергии</v>
      </c>
      <c r="AB23" s="506"/>
      <c r="AC23" s="506"/>
      <c r="AD23" s="1161">
        <v>92</v>
      </c>
    </row>
    <row customHeight="1" ht="86.25">
      <c r="A24" s="1369" t="s">
        <v>170</v>
      </c>
      <c r="B24" s="1369" t="s">
        <v>171</v>
      </c>
      <c r="C24" s="1369" t="s">
        <v>172</v>
      </c>
      <c r="D24" s="1369" t="s">
        <v>173</v>
      </c>
      <c r="E24" s="1369"/>
      <c r="F24" s="2613"/>
      <c r="G24" s="2223" t="str">
        <f>F23&amp;".1"</f>
        <v>....1.1</v>
      </c>
      <c r="I24" s="2263"/>
      <c r="J24" s="2263">
        <v>1</v>
      </c>
      <c r="K24" s="363"/>
      <c r="L24" s="1299" t="str">
        <f>$G$24</f>
        <v>....1.1</v>
      </c>
      <c r="M24" s="292" t="s">
        <v>423</v>
      </c>
      <c r="N24" s="306"/>
      <c r="O24" s="2251"/>
      <c r="P24" s="2252"/>
      <c r="Q24" s="2252"/>
      <c r="R24" s="2252"/>
      <c r="S24" s="2252"/>
      <c r="T24" s="2252"/>
      <c r="U24" s="2252"/>
      <c r="V24" s="2252"/>
      <c r="W24" s="2253"/>
      <c r="X24" s="1264" t="s">
        <v>424</v>
      </c>
      <c r="Z24" s="506"/>
      <c r="AA24" s="506" t="str">
        <f>IF(M24="","",M24)</f>
        <v>Группа потребителей</v>
      </c>
      <c r="AB24" s="506"/>
      <c r="AC24" s="506"/>
      <c r="AD24" s="1161">
        <v>82</v>
      </c>
    </row>
    <row customHeight="1" ht="11.549999999999999">
      <c r="A25" s="1369" t="s">
        <v>170</v>
      </c>
      <c r="B25" s="1369" t="s">
        <v>171</v>
      </c>
      <c r="C25" s="1369" t="s">
        <v>172</v>
      </c>
      <c r="D25" s="1369" t="s">
        <v>173</v>
      </c>
      <c r="E25" s="1369"/>
      <c r="F25" s="2613"/>
      <c r="G25" s="2223"/>
      <c r="H25" s="2223" t="str">
        <f>G24&amp;".1"</f>
        <v>....1.1.1</v>
      </c>
      <c r="I25" s="2263"/>
      <c r="J25" s="2263"/>
      <c r="K25" s="363">
        <v>1</v>
      </c>
      <c r="L25" s="1299" t="str">
        <f>$H$25</f>
        <v>....1.1.1</v>
      </c>
      <c r="M25" s="1353"/>
      <c r="N25" s="306"/>
      <c r="O25" s="757"/>
      <c r="P25" s="331"/>
      <c r="Q25" s="757"/>
      <c r="R25" s="1263"/>
      <c r="S25" s="2608"/>
      <c r="T25" s="2113" t="s">
        <v>62</v>
      </c>
      <c r="U25" s="2608"/>
      <c r="V25" s="2113" t="s">
        <v>19</v>
      </c>
      <c r="W25" s="331"/>
      <c r="X25" s="2259" t="s">
        <v>426</v>
      </c>
      <c r="Y25" s="517">
        <f>STRCHECKDATE(O26:W26)</f>
      </c>
      <c r="Z25" s="506"/>
      <c r="AA25" s="506" t="str">
        <f>IF(M25="","",M25)</f>
        <v/>
      </c>
      <c r="AB25" s="506"/>
      <c r="AC25" s="506"/>
      <c r="AD25" s="1161">
        <v>11</v>
      </c>
    </row>
    <row customHeight="1" ht="11.549999999999999">
      <c r="A26" s="1369" t="s">
        <v>170</v>
      </c>
      <c r="B26" s="1369" t="s">
        <v>171</v>
      </c>
      <c r="C26" s="1369" t="s">
        <v>172</v>
      </c>
      <c r="D26" s="1369" t="s">
        <v>173</v>
      </c>
      <c r="E26" s="1369"/>
      <c r="F26" s="2613"/>
      <c r="G26" s="2223"/>
      <c r="H26" s="2223"/>
      <c r="I26" s="2263"/>
      <c r="J26" s="2263"/>
      <c r="K26" s="363"/>
      <c r="L26" s="1300"/>
      <c r="M26" s="306"/>
      <c r="N26" s="306"/>
      <c r="O26" s="331"/>
      <c r="P26" s="331"/>
      <c r="Q26" s="331"/>
      <c r="R26" s="334" t="str">
        <f>S25&amp;"-"&amp;U25</f>
        <v>-</v>
      </c>
      <c r="S26" s="2272"/>
      <c r="T26" s="2113"/>
      <c r="U26" s="2272"/>
      <c r="V26" s="2113"/>
      <c r="W26" s="331"/>
      <c r="X26" s="2260"/>
      <c r="Z26" s="506"/>
      <c r="AA26" s="506" t="str">
        <f>IF(M26="","",M26)</f>
        <v/>
      </c>
      <c r="AB26" s="506"/>
      <c r="AC26" s="506"/>
      <c r="AD26" s="1161">
        <v>11</v>
      </c>
    </row>
    <row customHeight="1" ht="15.75">
      <c r="A27" s="1369" t="s">
        <v>170</v>
      </c>
      <c r="B27" s="1369" t="s">
        <v>171</v>
      </c>
      <c r="C27" s="1369" t="s">
        <v>172</v>
      </c>
      <c r="D27" s="1369" t="s">
        <v>173</v>
      </c>
      <c r="E27" s="1369"/>
      <c r="F27" s="2613"/>
      <c r="G27" s="2223"/>
      <c r="I27" s="2263"/>
      <c r="J27" s="2263"/>
      <c r="K27" s="362"/>
      <c r="L27" s="1284"/>
      <c r="M27" s="294" t="s">
        <v>427</v>
      </c>
      <c r="N27" s="373"/>
      <c r="O27" s="373"/>
      <c r="P27" s="373"/>
      <c r="Q27" s="373"/>
      <c r="R27" s="373"/>
      <c r="S27" s="373"/>
      <c r="T27" s="373"/>
      <c r="U27" s="373"/>
      <c r="V27" s="373"/>
      <c r="W27" s="330"/>
      <c r="X27" s="2261"/>
      <c r="Z27" s="506"/>
      <c r="AA27" s="506" t="str">
        <f>IF(M27="","",M27)</f>
        <v>Добавить вид теплоносителя (параметры теплоносителя)</v>
      </c>
      <c r="AB27" s="506"/>
      <c r="AC27" s="506"/>
      <c r="AD27" s="1161">
        <v>15</v>
      </c>
    </row>
    <row customHeight="1" ht="15.75">
      <c r="A28" s="1369" t="s">
        <v>170</v>
      </c>
      <c r="B28" s="1369" t="s">
        <v>171</v>
      </c>
      <c r="C28" s="1369" t="s">
        <v>172</v>
      </c>
      <c r="D28" s="1369" t="s">
        <v>173</v>
      </c>
      <c r="E28" s="1369"/>
      <c r="F28" s="2613"/>
      <c r="I28" s="2263"/>
      <c r="J28" s="1297"/>
      <c r="K28" s="362"/>
      <c r="L28" s="1284"/>
      <c r="M28" s="293" t="s">
        <v>428</v>
      </c>
      <c r="N28" s="373"/>
      <c r="O28" s="373"/>
      <c r="P28" s="373"/>
      <c r="Q28" s="373"/>
      <c r="R28" s="373"/>
      <c r="S28" s="373"/>
      <c r="T28" s="373"/>
      <c r="U28" s="373"/>
      <c r="V28" s="372"/>
      <c r="W28" s="373"/>
      <c r="X28" s="309"/>
      <c r="Z28" s="506"/>
      <c r="AA28" s="506" t="str">
        <f>IF(M28="","",M28)</f>
        <v>Добавить группу потребителей</v>
      </c>
      <c r="AB28" s="506"/>
      <c r="AC28" s="506"/>
      <c r="AD28" s="1161">
        <v>15</v>
      </c>
    </row>
    <row customHeight="1" ht="14.699999999999998">
      <c r="A29" s="1369" t="s">
        <v>170</v>
      </c>
      <c r="B29" s="1369" t="s">
        <v>171</v>
      </c>
      <c r="C29" s="1369" t="s">
        <v>172</v>
      </c>
      <c r="D29" s="1369" t="s">
        <v>173</v>
      </c>
      <c r="E29" s="1369"/>
      <c r="F29" s="1371"/>
      <c r="G29" s="1371"/>
      <c r="H29" s="543"/>
      <c r="I29" s="366"/>
      <c r="J29" s="381"/>
      <c r="K29" s="361"/>
      <c r="L29" s="1284"/>
      <c r="M29" s="371" t="s">
        <v>429</v>
      </c>
      <c r="N29" s="373"/>
      <c r="O29" s="373"/>
      <c r="P29" s="373"/>
      <c r="Q29" s="373"/>
      <c r="R29" s="373"/>
      <c r="S29" s="373"/>
      <c r="T29" s="373"/>
      <c r="U29" s="373"/>
      <c r="V29" s="372"/>
      <c r="W29" s="373"/>
      <c r="X29" s="309"/>
      <c r="Z29" s="506"/>
      <c r="AA29" s="506" t="str">
        <f>IF(M29="","",M29)</f>
        <v>Добавить схему подключения</v>
      </c>
      <c r="AB29" s="506"/>
      <c r="AC29" s="506"/>
      <c r="AD29" s="1161">
        <v>14</v>
      </c>
    </row>
    <row customHeight="1" ht="14.699999999999998">
      <c r="A30" s="1369" t="s">
        <v>170</v>
      </c>
      <c r="B30" s="1369" t="s">
        <v>171</v>
      </c>
      <c r="C30" s="1369" t="s">
        <v>172</v>
      </c>
      <c r="D30" s="1369"/>
      <c r="E30" s="1369" t="s">
        <v>623</v>
      </c>
      <c r="F30" s="1371"/>
      <c r="G30" s="1371"/>
      <c r="H30" s="543"/>
      <c r="I30" s="366"/>
      <c r="J30" s="381"/>
      <c r="K30" s="361"/>
      <c r="L30" s="1285"/>
      <c r="M30" s="1274"/>
      <c r="N30" s="1275"/>
      <c r="O30" s="1275"/>
      <c r="P30" s="1275"/>
      <c r="Q30" s="1275"/>
      <c r="R30" s="1275"/>
      <c r="S30" s="1275"/>
      <c r="T30" s="1275"/>
      <c r="U30" s="1275"/>
      <c r="V30" s="1276"/>
      <c r="W30" s="1275"/>
      <c r="X30" s="1277"/>
      <c r="Z30" s="506"/>
      <c r="AA30" s="506" t="str">
        <f>IF(M30="","",M30)</f>
        <v/>
      </c>
      <c r="AB30" s="506"/>
      <c r="AC30" s="506"/>
      <c r="AD30" s="1161">
        <v>14</v>
      </c>
    </row>
    <row customHeight="1" ht="14.699999999999998">
      <c r="A31" s="1369" t="s">
        <v>170</v>
      </c>
      <c r="B31" s="1369" t="s">
        <v>171</v>
      </c>
      <c r="C31" s="1369"/>
      <c r="D31" s="1369"/>
      <c r="E31" s="1369" t="s">
        <v>2270</v>
      </c>
      <c r="F31" s="1523"/>
      <c r="G31" s="1523"/>
      <c r="H31" s="543"/>
      <c r="I31" s="364"/>
      <c r="J31" s="381"/>
      <c r="K31" s="365"/>
      <c r="L31" s="1285"/>
      <c r="M31" s="1278"/>
      <c r="N31" s="1275"/>
      <c r="O31" s="1275"/>
      <c r="P31" s="1275"/>
      <c r="Q31" s="1275"/>
      <c r="R31" s="1275"/>
      <c r="S31" s="1275"/>
      <c r="T31" s="1275"/>
      <c r="U31" s="1275"/>
      <c r="V31" s="1276"/>
      <c r="W31" s="1275"/>
      <c r="X31" s="1277"/>
      <c r="Z31" s="506"/>
      <c r="AA31" s="506" t="str">
        <f>IF(M31="","",M31)</f>
        <v/>
      </c>
      <c r="AB31" s="506"/>
      <c r="AC31" s="506"/>
      <c r="AD31" s="1161">
        <v>14</v>
      </c>
    </row>
    <row customHeight="1" ht="14.699999999999998">
      <c r="A32" s="1369" t="s">
        <v>2271</v>
      </c>
      <c r="B32" s="1369"/>
      <c r="C32" s="1369"/>
      <c r="D32" s="1369"/>
      <c r="E32" s="1369" t="s">
        <v>106</v>
      </c>
      <c r="F32" s="1523"/>
      <c r="G32" s="1523"/>
      <c r="H32" s="543"/>
      <c r="I32" s="366"/>
      <c r="J32" s="381"/>
      <c r="K32" s="361"/>
      <c r="L32" s="1285"/>
      <c r="M32" s="1279"/>
      <c r="N32" s="1275"/>
      <c r="O32" s="1275"/>
      <c r="P32" s="1275"/>
      <c r="Q32" s="1275"/>
      <c r="R32" s="1275"/>
      <c r="S32" s="1275"/>
      <c r="T32" s="1275"/>
      <c r="U32" s="1275"/>
      <c r="V32" s="1276"/>
      <c r="W32" s="1275"/>
      <c r="X32" s="1277"/>
      <c r="Z32" s="506"/>
      <c r="AA32" s="506" t="str">
        <f>IF(M32="","",M32)</f>
        <v/>
      </c>
      <c r="AB32" s="506"/>
      <c r="AC32" s="506"/>
      <c r="AD32" s="1161">
        <v>14</v>
      </c>
    </row>
    <row s="1856" customFormat="1" customHeight="1" ht="11.549999999999999">
      <c r="A33" s="1369"/>
      <c r="B33" s="1369"/>
      <c r="C33" s="1369"/>
      <c r="D33" s="1369"/>
      <c r="E33" s="1369" t="s">
        <v>264</v>
      </c>
      <c r="F33" s="1524"/>
      <c r="G33" s="1525"/>
      <c r="H33" s="543"/>
      <c r="L33" s="1286"/>
      <c r="M33" s="1280"/>
      <c r="N33" s="1275"/>
      <c r="O33" s="1275"/>
      <c r="P33" s="1275"/>
      <c r="Q33" s="1275"/>
      <c r="R33" s="1275"/>
      <c r="S33" s="1275"/>
      <c r="T33" s="1275"/>
      <c r="U33" s="1275"/>
      <c r="V33" s="1276"/>
      <c r="W33" s="1275"/>
      <c r="X33" s="1277"/>
      <c r="Y33" s="385"/>
      <c r="Z33" s="385"/>
      <c r="AA33" s="385"/>
      <c r="AB33" s="385"/>
      <c r="AC33" s="385"/>
      <c r="AD33" s="379">
        <v>11</v>
      </c>
    </row>
    <row customHeight="1" ht="11.549999999999999">
      <c r="F34" s="1166"/>
      <c r="G34" s="1166"/>
      <c r="H34" s="543"/>
      <c r="I34" s="1161"/>
      <c r="J34" s="1161"/>
      <c r="K34" s="1161"/>
      <c r="Y34" s="1161"/>
      <c r="Z34" s="1161"/>
      <c r="AA34" s="1161"/>
      <c r="AB34" s="1161"/>
      <c r="AC34" s="1161"/>
      <c r="AD34" s="1161">
        <v>11</v>
      </c>
    </row>
    <row customHeight="1" ht="28.5">
      <c r="H35" s="543"/>
      <c r="L35" s="1294" t="s">
        <v>840</v>
      </c>
      <c r="M35" s="2291" t="s">
        <v>2272</v>
      </c>
      <c r="N35" s="2291"/>
      <c r="O35" s="2291"/>
      <c r="P35" s="2291"/>
      <c r="Q35" s="2291"/>
      <c r="R35" s="2291"/>
      <c r="S35" s="2291"/>
      <c r="T35" s="2291"/>
      <c r="U35" s="2291"/>
      <c r="V35" s="2291"/>
      <c r="W35" s="2291"/>
      <c r="X35" s="2291"/>
      <c r="AD35" s="1161">
        <v>27</v>
      </c>
    </row>
    <row customHeight="1" ht="109.19999999999999">
      <c r="H36" s="543"/>
      <c r="I36" s="1309"/>
      <c r="M36" s="2291" t="s">
        <v>2273</v>
      </c>
      <c r="N36" s="2291"/>
      <c r="O36" s="2291"/>
      <c r="P36" s="2291"/>
      <c r="Q36" s="2291"/>
      <c r="R36" s="2291"/>
      <c r="S36" s="2291"/>
      <c r="T36" s="2291"/>
      <c r="U36" s="2291"/>
      <c r="V36" s="2291"/>
      <c r="W36" s="2291"/>
      <c r="X36" s="2291"/>
      <c r="AD36" s="1161">
        <v>104</v>
      </c>
    </row>
    <row customHeight="1" ht="14.699999999999998">
      <c r="H37" s="543"/>
      <c r="AD37" s="1161">
        <v>14</v>
      </c>
    </row>
    <row customHeight="1" ht="14.699999999999998">
      <c r="H38" s="543"/>
      <c r="AD38" s="1161">
        <v>14</v>
      </c>
    </row>
    <row customHeight="1" ht="14.699999999999998">
      <c r="H39" s="543"/>
      <c r="AD39" s="1161">
        <v>14</v>
      </c>
    </row>
    <row customHeight="1" ht="14.699999999999998">
      <c r="H40" s="543"/>
      <c r="AD40" s="1161">
        <v>14</v>
      </c>
    </row>
    <row customHeight="1" ht="22.5" hidden="1">
      <c r="A41" s="1166" t="s">
        <v>83</v>
      </c>
      <c r="B41" s="1166">
        <v>0</v>
      </c>
      <c r="C41" s="1166">
        <v>0</v>
      </c>
      <c r="D41" s="1166">
        <v>0</v>
      </c>
      <c r="E41" s="1166">
        <v>0</v>
      </c>
      <c r="F41" s="1368">
        <v>0</v>
      </c>
      <c r="G41" s="1368">
        <v>0</v>
      </c>
      <c r="H41" s="1368">
        <v>0</v>
      </c>
      <c r="I41" s="1292">
        <v>3</v>
      </c>
      <c r="J41" s="350">
        <v>3</v>
      </c>
      <c r="K41" s="350">
        <v>3</v>
      </c>
      <c r="L41" s="587">
        <v>12</v>
      </c>
      <c r="M41" s="1161">
        <v>31</v>
      </c>
      <c r="N41" s="1161">
        <v>1</v>
      </c>
      <c r="O41" s="1161">
        <v>24</v>
      </c>
      <c r="P41" s="1161">
        <v>24</v>
      </c>
      <c r="Q41" s="1161">
        <v>24</v>
      </c>
      <c r="R41" s="1161">
        <v>24</v>
      </c>
      <c r="S41" s="1161">
        <v>11</v>
      </c>
      <c r="T41" s="1161">
        <v>3</v>
      </c>
      <c r="U41" s="1161">
        <v>11</v>
      </c>
      <c r="V41" s="1161">
        <v>8</v>
      </c>
      <c r="W41" s="1161">
        <v>4</v>
      </c>
      <c r="X41" s="1161">
        <v>115</v>
      </c>
      <c r="Y41" s="517">
        <v>10</v>
      </c>
      <c r="Z41" s="517">
        <v>10</v>
      </c>
      <c r="AA41" s="517">
        <v>10</v>
      </c>
      <c r="AB41" s="517">
        <v>10</v>
      </c>
      <c r="AC41" s="517">
        <v>10</v>
      </c>
      <c r="AD41" s="1161">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EFBC44-7919-431B-6B0B-8CA9480A118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5FF8A3-3B69-B1B1-2E67-D7343626A8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F08CDD-A147-32AD-CF04-973880C94E3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D544A6-D13C-9FE6-010B-24E41CD35BA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FFC2B5-BDFB-2E63-3C68-A8AFD494A2C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B3ED8D-8F55-8B75-1E87-5865E8414704}"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2" width="15.00390625" hidden="1" customWidth="1"/>
    <col min="2"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121.00390625" customWidth="1"/>
    <col min="8" max="8" style="461" width="8.00390625" customWidth="1"/>
    <col min="9" max="9" style="461" width="64.00390625" customWidth="1"/>
    <col min="10" max="10" style="461" width="9.140625" hidden="1"/>
  </cols>
  <sheetData>
    <row customHeight="1" ht="11.25" hidden="1">
      <c r="A1" s="1692" t="s">
        <v>315</v>
      </c>
      <c r="J1" s="461" t="s">
        <v>14</v>
      </c>
    </row>
    <row customHeight="1" ht="11.25" hidden="1">
      <c r="J2" s="461">
        <v>0</v>
      </c>
    </row>
    <row s="483" customFormat="1" customHeight="1" ht="11.549999999999999">
      <c r="A3" s="1692"/>
      <c r="B3" s="507"/>
      <c r="D3" s="484"/>
      <c r="J3" s="483">
        <v>11</v>
      </c>
    </row>
    <row customHeight="1" ht="27.299999999999997">
      <c r="D4" s="2163" t="str">
        <f>ORG_INFO_NAME_FORM</f>
        <v>Форма 1. Информация об организации, осуществляющей холодное водоснабжение (общая информация)</v>
      </c>
      <c r="E4" s="2164"/>
      <c r="F4" s="2165"/>
      <c r="I4" s="721"/>
      <c r="J4" s="461">
        <v>26</v>
      </c>
    </row>
    <row customHeight="1" ht="18">
      <c r="D5" s="2182" t="str">
        <f>IF(org=0,"Не определено",org)</f>
        <v>АО «ДГК» СП «Нерюнгринская ГРЭС»</v>
      </c>
      <c r="E5" s="2182"/>
      <c r="F5" s="2182"/>
      <c r="I5" s="721"/>
      <c r="J5" s="461">
        <v>17</v>
      </c>
    </row>
    <row s="483" customFormat="1" customHeight="1" ht="11.549999999999999">
      <c r="A6" s="1692"/>
      <c r="B6" s="507"/>
      <c r="D6" s="720"/>
      <c r="E6" s="720"/>
      <c r="F6" s="758"/>
      <c r="G6" s="720"/>
      <c r="J6" s="483">
        <v>11</v>
      </c>
    </row>
    <row customHeight="1" ht="11.25" hidden="1">
      <c r="A7" s="463"/>
      <c r="B7" s="508"/>
      <c r="C7" s="463"/>
      <c r="D7" s="469"/>
      <c r="E7" s="2213"/>
      <c r="F7" s="2213"/>
      <c r="J7" s="461">
        <v>0</v>
      </c>
    </row>
    <row customHeight="1" ht="11.549999999999999">
      <c r="A8" s="463"/>
      <c r="B8" s="508"/>
      <c r="C8" s="463"/>
      <c r="D8" s="2210" t="s">
        <v>316</v>
      </c>
      <c r="E8" s="2211"/>
      <c r="F8" s="2211"/>
      <c r="G8" s="2214" t="s">
        <v>317</v>
      </c>
      <c r="J8" s="461">
        <v>11</v>
      </c>
    </row>
    <row customHeight="1" ht="11.549999999999999">
      <c r="A9" s="463"/>
      <c r="B9" s="508"/>
      <c r="C9" s="463"/>
      <c r="D9" s="478" t="s">
        <v>89</v>
      </c>
      <c r="E9" s="452" t="s">
        <v>318</v>
      </c>
      <c r="F9" s="452" t="s">
        <v>319</v>
      </c>
      <c r="G9" s="2215"/>
      <c r="J9" s="461">
        <v>11</v>
      </c>
    </row>
    <row customHeight="1" ht="12" hidden="1">
      <c r="A10" s="463"/>
      <c r="B10" s="508"/>
      <c r="C10" s="463"/>
      <c r="D10" s="470"/>
      <c r="E10" s="470"/>
      <c r="F10" s="470"/>
      <c r="G10" s="470"/>
      <c r="J10" s="461">
        <v>0</v>
      </c>
    </row>
    <row customHeight="1" ht="22.5" hidden="1">
      <c r="A11" s="463"/>
      <c r="B11" s="508"/>
      <c r="C11" s="463"/>
      <c r="D11" s="1015" t="s">
        <v>111</v>
      </c>
      <c r="E11" s="1018" t="s">
        <v>320</v>
      </c>
      <c r="F11" s="1017" t="str">
        <f>IF(region_name="","",region_name)</f>
        <v>Республика Саха (Якутия)</v>
      </c>
      <c r="G11" s="1018" t="s">
        <v>321</v>
      </c>
      <c r="H11" s="481"/>
      <c r="J11" s="461">
        <v>0</v>
      </c>
    </row>
    <row customHeight="1" ht="22.5" hidden="1">
      <c r="A12" s="463"/>
      <c r="B12" s="508"/>
      <c r="C12" s="463"/>
      <c r="D12" s="451" t="s">
        <v>111</v>
      </c>
      <c r="E12" s="4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9" t="s">
        <v>322</v>
      </c>
      <c r="G12" s="480"/>
      <c r="H12" s="481"/>
      <c r="J12" s="461">
        <v>0</v>
      </c>
    </row>
    <row customHeight="1" ht="23.25">
      <c r="A13" s="463"/>
      <c r="B13" s="508"/>
      <c r="C13" s="463"/>
      <c r="D13" s="451" t="s">
        <v>111</v>
      </c>
      <c r="E13" s="448" t="str">
        <f>"Наименование юридического лица"&amp;IF(TEMPLATE_SPHERE="TKO"," (индивидуального предпринимателя)","")</f>
        <v>Наименование юридического лица</v>
      </c>
      <c r="F13" s="447"/>
      <c r="G13" s="4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1"/>
      <c r="J13" s="461">
        <v>22</v>
      </c>
    </row>
    <row customHeight="1" ht="22.5" hidden="1">
      <c r="A14" s="463"/>
      <c r="B14" s="508"/>
      <c r="C14" s="463"/>
      <c r="D14" s="1015" t="s">
        <v>323</v>
      </c>
      <c r="E14" s="1016" t="s">
        <v>324</v>
      </c>
      <c r="F14" s="1017" t="str">
        <f>IF(inn="","",inn)</f>
        <v>1434031363</v>
      </c>
      <c r="G14" s="1018" t="s">
        <v>325</v>
      </c>
      <c r="H14" s="481"/>
      <c r="J14" s="461">
        <v>0</v>
      </c>
    </row>
    <row customHeight="1" ht="22.5" hidden="1">
      <c r="A15" s="463"/>
      <c r="B15" s="508"/>
      <c r="C15" s="463"/>
      <c r="D15" s="1015" t="s">
        <v>326</v>
      </c>
      <c r="E15" s="1016" t="s">
        <v>327</v>
      </c>
      <c r="F15" s="1017" t="str">
        <f>IF(kpp="","",kpp)</f>
        <v>143445001</v>
      </c>
      <c r="G15" s="1018" t="s">
        <v>328</v>
      </c>
      <c r="H15" s="481"/>
      <c r="J15" s="461">
        <v>0</v>
      </c>
    </row>
    <row customHeight="1" ht="39">
      <c r="A16" s="463"/>
      <c r="B16" s="508"/>
      <c r="C16" s="463"/>
      <c r="D16" s="451" t="s">
        <v>112</v>
      </c>
      <c r="E16" s="4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7"/>
      <c r="G16" s="4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1"/>
      <c r="J16" s="461">
        <v>37</v>
      </c>
    </row>
    <row customHeight="1" ht="23.25">
      <c r="A17" s="463"/>
      <c r="B17" s="508"/>
      <c r="C17" s="463"/>
      <c r="D17" s="451" t="s">
        <v>91</v>
      </c>
      <c r="E17" s="448" t="str">
        <f>"Дата присвоения ОГРН"&amp;IF(TEMPLATE_SPHERE="TKO",""," (ОГРНИП)")</f>
        <v>Дата присвоения ОГРН (ОГРНИП)</v>
      </c>
      <c r="F17" s="1738" t="s">
        <v>28</v>
      </c>
      <c r="G17" s="450" t="str">
        <f>"Дата присвоения ОГРН"&amp;IF(TEMPLATE_SPHERE="TKO",""," (ОГРНИП)")&amp;" указывается в виде «ДД.ММ.ГГГГ»."</f>
        <v>Дата присвоения ОГРН (ОГРНИП) указывается в виде «ДД.ММ.ГГГГ».</v>
      </c>
      <c r="H17" s="481"/>
      <c r="J17" s="461">
        <v>22</v>
      </c>
    </row>
    <row customHeight="1" ht="71.25">
      <c r="A18" s="463"/>
      <c r="B18" s="508"/>
      <c r="C18" s="463"/>
      <c r="D18" s="451" t="s">
        <v>92</v>
      </c>
      <c r="E18" s="4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7"/>
      <c r="G18" s="480"/>
      <c r="H18" s="481"/>
      <c r="J18" s="461">
        <v>68</v>
      </c>
    </row>
    <row customHeight="1" ht="22.5" hidden="1">
      <c r="A19" s="2208" t="s">
        <v>329</v>
      </c>
      <c r="B19" s="508"/>
      <c r="C19" s="2219"/>
      <c r="D19" s="451" t="str">
        <f>A19</f>
        <v>5.1</v>
      </c>
      <c r="E19" s="448" t="s">
        <v>330</v>
      </c>
      <c r="F19" s="449" t="s">
        <v>322</v>
      </c>
      <c r="G19" s="450" t="s">
        <v>331</v>
      </c>
      <c r="H19" s="481"/>
      <c r="I19" s="858"/>
      <c r="J19" s="461">
        <v>0</v>
      </c>
    </row>
    <row customHeight="1" ht="24" hidden="1">
      <c r="A20" s="2208"/>
      <c r="B20" s="508"/>
      <c r="C20" s="2219"/>
      <c r="D20" s="446" t="str">
        <f>D19&amp;".1"</f>
        <v>5.1.1</v>
      </c>
      <c r="E20" s="445" t="s">
        <v>332</v>
      </c>
      <c r="F20" s="887" t="s">
        <v>28</v>
      </c>
      <c r="G20" s="480"/>
      <c r="H20" s="481"/>
      <c r="I20" s="858"/>
      <c r="J20" s="461">
        <v>0</v>
      </c>
    </row>
    <row customHeight="1" ht="22.5" hidden="1">
      <c r="A21" s="2208"/>
      <c r="B21" s="508"/>
      <c r="C21" s="2219"/>
      <c r="D21" s="446" t="str">
        <f>D19&amp;".2"</f>
        <v>5.1.2</v>
      </c>
      <c r="E21" s="445" t="s">
        <v>333</v>
      </c>
      <c r="F21" s="1739" t="s">
        <v>28</v>
      </c>
      <c r="G21" s="450" t="s">
        <v>334</v>
      </c>
      <c r="H21" s="481"/>
      <c r="I21" s="858"/>
      <c r="J21" s="461">
        <v>0</v>
      </c>
    </row>
    <row customHeight="1" ht="22.5" hidden="1">
      <c r="A22" s="2208"/>
      <c r="B22" s="508"/>
      <c r="C22" s="2219"/>
      <c r="D22" s="446" t="str">
        <f>D19&amp;".3"</f>
        <v>5.1.3</v>
      </c>
      <c r="E22" s="445" t="s">
        <v>335</v>
      </c>
      <c r="F22" s="887" t="s">
        <v>28</v>
      </c>
      <c r="G22" s="480"/>
      <c r="H22" s="481"/>
      <c r="I22" s="858"/>
      <c r="J22" s="461">
        <v>0</v>
      </c>
    </row>
    <row customHeight="1" ht="22.5" hidden="1">
      <c r="A23" s="2208"/>
      <c r="B23" s="508"/>
      <c r="C23" s="2219"/>
      <c r="D23" s="446" t="str">
        <f>D19&amp;".4"</f>
        <v>5.1.4</v>
      </c>
      <c r="E23" s="445" t="s">
        <v>336</v>
      </c>
      <c r="F23" s="887" t="s">
        <v>28</v>
      </c>
      <c r="G23" s="450" t="s">
        <v>337</v>
      </c>
      <c r="H23" s="481"/>
      <c r="I23" s="858"/>
      <c r="J23" s="461">
        <v>0</v>
      </c>
    </row>
    <row customHeight="1" ht="22.5" hidden="1">
      <c r="A24" s="1984"/>
      <c r="B24" s="508"/>
      <c r="C24" s="498"/>
      <c r="D24" s="473"/>
      <c r="E24" s="1174" t="s">
        <v>338</v>
      </c>
      <c r="F24" s="474"/>
      <c r="G24" s="475"/>
      <c r="H24" s="481"/>
      <c r="I24" s="858"/>
      <c r="J24" s="461">
        <v>0</v>
      </c>
    </row>
    <row s="507" customFormat="1" customHeight="1" ht="24.75" hidden="1">
      <c r="A25" s="463"/>
      <c r="B25" s="508"/>
      <c r="C25" s="508"/>
      <c r="D25" s="1012" t="s">
        <v>91</v>
      </c>
      <c r="E25" s="1014" t="s">
        <v>339</v>
      </c>
      <c r="F25" s="1019" t="s">
        <v>322</v>
      </c>
      <c r="G25" s="1014"/>
      <c r="J25" s="507">
        <v>0</v>
      </c>
    </row>
    <row s="507" customFormat="1" customHeight="1" ht="11.25" hidden="1">
      <c r="A26" s="463"/>
      <c r="B26" s="508"/>
      <c r="C26" s="508"/>
      <c r="D26" s="1012" t="s">
        <v>340</v>
      </c>
      <c r="E26" s="1013" t="s">
        <v>341</v>
      </c>
      <c r="F26" s="1019" t="s">
        <v>322</v>
      </c>
      <c r="G26" s="1014"/>
      <c r="J26" s="507">
        <v>0</v>
      </c>
    </row>
    <row s="507" customFormat="1" customHeight="1" ht="11.25" hidden="1">
      <c r="A27" s="463"/>
      <c r="B27" s="508"/>
      <c r="C27" s="508"/>
      <c r="D27" s="1012" t="s">
        <v>342</v>
      </c>
      <c r="E27" s="1020" t="s">
        <v>343</v>
      </c>
      <c r="F27" s="1021"/>
      <c r="G27" s="10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7">
        <v>0</v>
      </c>
    </row>
    <row s="507" customFormat="1" customHeight="1" ht="11.25" hidden="1">
      <c r="A28" s="463"/>
      <c r="B28" s="508"/>
      <c r="C28" s="508"/>
      <c r="D28" s="1012" t="s">
        <v>344</v>
      </c>
      <c r="E28" s="1020" t="s">
        <v>345</v>
      </c>
      <c r="F28" s="1021"/>
      <c r="G28" s="10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7">
        <v>0</v>
      </c>
    </row>
    <row s="507" customFormat="1" customHeight="1" ht="11.25" hidden="1">
      <c r="A29" s="463"/>
      <c r="B29" s="508"/>
      <c r="C29" s="508"/>
      <c r="D29" s="1012" t="s">
        <v>346</v>
      </c>
      <c r="E29" s="1020" t="s">
        <v>347</v>
      </c>
      <c r="F29" s="1021"/>
      <c r="G29" s="10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7">
        <v>0</v>
      </c>
    </row>
    <row s="507" customFormat="1" customHeight="1" ht="11.25" hidden="1">
      <c r="A30" s="463"/>
      <c r="B30" s="508"/>
      <c r="C30" s="508"/>
      <c r="D30" s="1012" t="s">
        <v>348</v>
      </c>
      <c r="E30" s="1013" t="s">
        <v>349</v>
      </c>
      <c r="F30" s="1021"/>
      <c r="G30" s="1014"/>
      <c r="J30" s="507">
        <v>0</v>
      </c>
    </row>
    <row s="507" customFormat="1" customHeight="1" ht="11.25" hidden="1">
      <c r="A31" s="463"/>
      <c r="B31" s="508"/>
      <c r="C31" s="508"/>
      <c r="D31" s="1012" t="s">
        <v>350</v>
      </c>
      <c r="E31" s="1013" t="s">
        <v>351</v>
      </c>
      <c r="F31" s="1021"/>
      <c r="G31" s="1014"/>
      <c r="J31" s="507">
        <v>0</v>
      </c>
    </row>
    <row s="507" customFormat="1" customHeight="1" ht="11.25" hidden="1">
      <c r="A32" s="463"/>
      <c r="B32" s="508"/>
      <c r="C32" s="508"/>
      <c r="D32" s="1012" t="s">
        <v>352</v>
      </c>
      <c r="E32" s="1013" t="s">
        <v>353</v>
      </c>
      <c r="F32" s="1022"/>
      <c r="G32" s="1014"/>
      <c r="J32" s="507">
        <v>0</v>
      </c>
    </row>
    <row customHeight="1" ht="24">
      <c r="A33" s="463" t="str">
        <f>IF(TEMPLATE_SPHERE="HEAT","6","5")</f>
        <v>5</v>
      </c>
      <c r="B33" s="508"/>
      <c r="C33" s="463"/>
      <c r="D33" s="446" t="str">
        <f>A33</f>
        <v>5</v>
      </c>
      <c r="E33" s="4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9" t="s">
        <v>322</v>
      </c>
      <c r="G33" s="480"/>
      <c r="H33" s="481"/>
      <c r="J33" s="461">
        <v>23</v>
      </c>
    </row>
    <row customHeight="1" ht="23.25">
      <c r="A34" s="463"/>
      <c r="B34" s="508"/>
      <c r="C34" s="463"/>
      <c r="D34" s="446" t="str">
        <f>D33&amp;".1"</f>
        <v>5.1</v>
      </c>
      <c r="E34" s="448" t="str">
        <f>"фамилия"&amp;IF(TEMPLATE_SPHERE&lt;&gt;"HEAT"," руководителя","")</f>
        <v>фамилия руководителя</v>
      </c>
      <c r="F34" s="447"/>
      <c r="G34" s="4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1"/>
      <c r="J34" s="461">
        <v>22</v>
      </c>
    </row>
    <row customHeight="1" ht="23.25">
      <c r="A35" s="463"/>
      <c r="B35" s="508"/>
      <c r="C35" s="463"/>
      <c r="D35" s="446" t="str">
        <f>D33&amp;".2"</f>
        <v>5.2</v>
      </c>
      <c r="E35" s="448" t="str">
        <f>"имя"&amp;IF(TEMPLATE_SPHERE&lt;&gt;"HEAT"," руководителя","")</f>
        <v>имя руководителя</v>
      </c>
      <c r="F35" s="447"/>
      <c r="G35" s="4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1"/>
      <c r="J35" s="461">
        <v>22</v>
      </c>
    </row>
    <row customHeight="1" ht="24">
      <c r="A36" s="463"/>
      <c r="B36" s="508"/>
      <c r="C36" s="463"/>
      <c r="D36" s="446" t="str">
        <f>D33&amp;".3"</f>
        <v>5.3</v>
      </c>
      <c r="E36" s="448" t="str">
        <f>"отчество"&amp;IF(TEMPLATE_SPHERE&lt;&gt;"HEAT"," руководителя","")</f>
        <v>отчество руководителя</v>
      </c>
      <c r="F36" s="704"/>
      <c r="G36" s="4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1"/>
      <c r="J36" s="461">
        <v>23</v>
      </c>
    </row>
    <row customHeight="1" ht="35.699999999999996">
      <c r="A37" s="463"/>
      <c r="B37" s="508"/>
      <c r="C37" s="463"/>
      <c r="D37" s="446">
        <f>D33+1</f>
        <v>6</v>
      </c>
      <c r="E37" s="4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7"/>
      <c r="G37" s="450" t="s">
        <v>354</v>
      </c>
      <c r="H37" s="481"/>
      <c r="J37" s="461">
        <v>34</v>
      </c>
    </row>
    <row customHeight="1" ht="35.699999999999996">
      <c r="A38" s="463"/>
      <c r="B38" s="508"/>
      <c r="C38" s="463"/>
      <c r="D38" s="446">
        <f>D37+1</f>
        <v>7</v>
      </c>
      <c r="E38" s="4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7"/>
      <c r="G38" s="450" t="s">
        <v>354</v>
      </c>
      <c r="H38" s="481"/>
      <c r="J38" s="461">
        <v>34</v>
      </c>
    </row>
    <row customHeight="1" ht="23.25">
      <c r="A39" s="463"/>
      <c r="B39" s="508"/>
      <c r="C39" s="463"/>
      <c r="D39" s="446">
        <f>D38+1</f>
        <v>8</v>
      </c>
      <c r="E39" s="4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9" t="s">
        <v>322</v>
      </c>
      <c r="G39" s="221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1"/>
      <c r="J39" s="461">
        <v>22</v>
      </c>
    </row>
    <row customHeight="1" ht="22.5" hidden="1">
      <c r="A40" s="463"/>
      <c r="B40" s="508"/>
      <c r="C40" s="463"/>
      <c r="D40" s="446" t="str">
        <f>D39&amp;".0"</f>
        <v>8.0</v>
      </c>
      <c r="E40" s="1611"/>
      <c r="F40" s="887"/>
      <c r="G40" s="2217"/>
      <c r="H40" s="481"/>
      <c r="J40" s="461">
        <v>0</v>
      </c>
    </row>
    <row customHeight="1" ht="23.25">
      <c r="A41" s="463"/>
      <c r="B41" s="463"/>
      <c r="C41" s="1694"/>
      <c r="D41" s="446" t="str">
        <f>D39&amp;".1"</f>
        <v>8.1</v>
      </c>
      <c r="E41" s="866"/>
      <c r="F41" s="867"/>
      <c r="G41" s="2217"/>
      <c r="H41" s="481"/>
      <c r="J41" s="461">
        <v>22</v>
      </c>
    </row>
    <row customHeight="1" ht="15.75">
      <c r="A42" s="463"/>
      <c r="B42" s="508"/>
      <c r="C42" s="463"/>
      <c r="D42" s="473"/>
      <c r="E42" s="421" t="s">
        <v>355</v>
      </c>
      <c r="F42" s="475"/>
      <c r="G42" s="2218"/>
      <c r="H42" s="482"/>
      <c r="J42" s="461">
        <v>15</v>
      </c>
    </row>
    <row customHeight="1" ht="27.299999999999997">
      <c r="A43" s="463"/>
      <c r="B43" s="508"/>
      <c r="C43" s="463"/>
      <c r="D43" s="446">
        <f>D39+1</f>
        <v>9</v>
      </c>
      <c r="E43" s="4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8"/>
      <c r="G43" s="4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1"/>
      <c r="J43" s="461">
        <v>26</v>
      </c>
    </row>
    <row customHeight="1" ht="23.25">
      <c r="A44" s="463"/>
      <c r="B44" s="508"/>
      <c r="C44" s="463"/>
      <c r="D44" s="446">
        <f>D43+1</f>
        <v>10</v>
      </c>
      <c r="E44" s="4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4"/>
      <c r="G44" s="480" t="s">
        <v>356</v>
      </c>
      <c r="H44" s="481"/>
      <c r="J44" s="461">
        <v>22</v>
      </c>
    </row>
    <row customHeight="1" ht="23.25">
      <c r="A45" s="463"/>
      <c r="B45" s="508"/>
      <c r="C45" s="463"/>
      <c r="D45" s="446">
        <f>D44+1</f>
        <v>11</v>
      </c>
      <c r="E45" s="444" t="s">
        <v>357</v>
      </c>
      <c r="F45" s="449" t="s">
        <v>322</v>
      </c>
      <c r="G45" s="443" t="str">
        <f>IF(TEMPLATE_SPHERE="TKO","Указывается режим работы организации.","")</f>
        <v/>
      </c>
      <c r="H45" s="481"/>
      <c r="J45" s="461">
        <v>22</v>
      </c>
    </row>
    <row customHeight="1" ht="24">
      <c r="A46" s="463"/>
      <c r="B46" s="508"/>
      <c r="C46" s="463"/>
      <c r="D46" s="446" t="str">
        <f>D45&amp;".1"</f>
        <v>11.1</v>
      </c>
      <c r="E46" s="448" t="str">
        <f>"режим работы регулируемой организации"&amp;IF(TEMPLATE_SPHERE="HEAT",", ЕТО, ТО","")</f>
        <v>режим работы регулируемой организации</v>
      </c>
      <c r="F46" s="1690"/>
      <c r="G46" s="443" t="s">
        <v>358</v>
      </c>
      <c r="H46" s="481"/>
      <c r="J46" s="461">
        <v>23</v>
      </c>
    </row>
    <row customHeight="1" ht="24">
      <c r="A47" s="2208"/>
      <c r="B47" s="508"/>
      <c r="C47" s="498"/>
      <c r="D47" s="446" t="str">
        <f>D45&amp;".2"</f>
        <v>11.2</v>
      </c>
      <c r="E47" s="448" t="s">
        <v>359</v>
      </c>
      <c r="F47" s="496"/>
      <c r="G47" s="443" t="s">
        <v>360</v>
      </c>
      <c r="H47" s="481"/>
      <c r="J47" s="461">
        <v>23</v>
      </c>
    </row>
    <row customHeight="1" ht="24">
      <c r="A48" s="2208"/>
      <c r="B48" s="508"/>
      <c r="C48" s="498"/>
      <c r="D48" s="446" t="str">
        <f>D45&amp;".3"</f>
        <v>11.3</v>
      </c>
      <c r="E48" s="448" t="s">
        <v>361</v>
      </c>
      <c r="F48" s="496"/>
      <c r="G48" s="443" t="s">
        <v>362</v>
      </c>
      <c r="H48" s="481"/>
      <c r="J48" s="461">
        <v>23</v>
      </c>
    </row>
    <row customHeight="1" ht="24">
      <c r="A49" s="2208"/>
      <c r="B49" s="508"/>
      <c r="C49" s="498"/>
      <c r="D49" s="446" t="str">
        <f>IF(TEMPLATE_SPHERE="TKO",D45&amp;".0",D45&amp;".4")</f>
        <v>11.4</v>
      </c>
      <c r="E49" s="442" t="s">
        <v>363</v>
      </c>
      <c r="F49" s="1691"/>
      <c r="G49" s="1768" t="s">
        <v>364</v>
      </c>
      <c r="H49" s="481"/>
      <c r="J49" s="461">
        <v>23</v>
      </c>
    </row>
    <row customHeight="1" ht="24">
      <c r="A50" s="463"/>
      <c r="B50" s="508"/>
      <c r="C50" s="463"/>
      <c r="D50" s="473"/>
      <c r="E50" s="421" t="s">
        <v>365</v>
      </c>
      <c r="F50" s="474"/>
      <c r="G50" s="1768" t="s">
        <v>366</v>
      </c>
      <c r="H50" s="482"/>
      <c r="J50" s="461">
        <v>23</v>
      </c>
    </row>
    <row customHeight="1" ht="24">
      <c r="A51" s="864"/>
      <c r="B51" s="508"/>
      <c r="C51" s="498"/>
      <c r="D51" s="446">
        <f>D45+1</f>
        <v>12</v>
      </c>
      <c r="E51" s="534" t="s">
        <v>367</v>
      </c>
      <c r="F51" s="496"/>
      <c r="G51" s="169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1"/>
      <c r="J51" s="461">
        <v>23</v>
      </c>
    </row>
    <row customHeight="1" ht="11.549999999999999">
      <c r="A52" s="463"/>
      <c r="B52" s="508"/>
      <c r="C52" s="463"/>
      <c r="J52" s="461">
        <v>11</v>
      </c>
    </row>
    <row s="466" customFormat="1" customHeight="1" ht="31.5">
      <c r="A53" s="1693"/>
      <c r="B53" s="509"/>
      <c r="C53" s="2209"/>
      <c r="D53" s="22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2"/>
      <c r="F53" s="2212"/>
      <c r="G53" s="2212"/>
      <c r="H53" s="460"/>
      <c r="I53" s="460"/>
      <c r="J53" s="466">
        <v>30</v>
      </c>
    </row>
    <row s="466" customFormat="1" customHeight="1" ht="42">
      <c r="A54" s="463"/>
      <c r="B54" s="508"/>
      <c r="C54" s="2209"/>
      <c r="D54" s="221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2"/>
      <c r="F54" s="2212"/>
      <c r="G54" s="2212"/>
      <c r="J54" s="466">
        <v>40</v>
      </c>
    </row>
    <row customHeight="1" ht="11.549999999999999">
      <c r="D55" s="464"/>
      <c r="E55" s="465"/>
      <c r="F55" s="465"/>
      <c r="G55" s="465"/>
      <c r="J55" s="461">
        <v>11</v>
      </c>
    </row>
    <row customHeight="1" ht="28.5">
      <c r="D56" s="467"/>
      <c r="E56" s="464"/>
      <c r="F56" s="476"/>
      <c r="G56" s="476"/>
      <c r="J56" s="461">
        <v>27</v>
      </c>
    </row>
    <row customHeight="1" ht="11.549999999999999">
      <c r="D57" s="464"/>
      <c r="E57" s="464"/>
      <c r="F57" s="465"/>
      <c r="G57" s="465"/>
      <c r="J57" s="461">
        <v>11</v>
      </c>
    </row>
    <row customHeight="1" ht="40.949999999999996">
      <c r="D58" s="468"/>
      <c r="E58" s="477"/>
      <c r="F58" s="477"/>
      <c r="G58" s="477"/>
      <c r="J58" s="461">
        <v>39</v>
      </c>
    </row>
    <row customHeight="1" ht="28.5">
      <c r="D59" s="468"/>
      <c r="E59" s="477"/>
      <c r="F59" s="477"/>
      <c r="G59" s="477"/>
      <c r="J59" s="461">
        <v>27</v>
      </c>
    </row>
    <row customHeight="1" ht="11.25" hidden="1">
      <c r="A60" s="1692" t="s">
        <v>83</v>
      </c>
      <c r="B60" s="507">
        <v>0</v>
      </c>
      <c r="C60" s="461">
        <v>3</v>
      </c>
      <c r="D60" s="462">
        <v>6</v>
      </c>
      <c r="E60" s="461">
        <v>52</v>
      </c>
      <c r="F60" s="461">
        <v>48</v>
      </c>
      <c r="G60" s="461">
        <v>121</v>
      </c>
      <c r="H60" s="461">
        <v>8</v>
      </c>
      <c r="I60" s="461">
        <v>64</v>
      </c>
      <c r="J60" s="461">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51C1FA-5D16-8D3D-DDED-2B7CC485D8F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C9050D-D99D-03B5-BB51-CB68DDAD1F9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6A2A9B-C675-C4BE-6843-48F6248A8F07}"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2"/>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FE258A-6451-CA3F-43C6-4F18BB8B0226}" mc:Ignorable="x14ac xr xr2 xr3">
  <dimension ref="A1:E8"/>
  <sheetViews>
    <sheetView topLeftCell="A1" showGridLines="0" workbookViewId="0">
      <selection activeCell="A1" sqref="A1"/>
    </sheetView>
  </sheetViews>
  <sheetFormatPr customHeight="1" defaultRowHeight="11.25"/>
  <cols>
    <col min="1" max="1" style="70" width="10.57421875" customWidth="1"/>
    <col min="2" max="2" style="70" width="8.7109375" customWidth="1"/>
    <col min="3" max="3" style="70" width="18.140625" customWidth="1"/>
    <col min="4" max="4" style="70" width="12.57421875" customWidth="1"/>
  </cols>
  <sheetData>
    <row customHeight="1" ht="11.25">
      <c r="A1" s="2621" t="s">
        <v>2274</v>
      </c>
      <c r="B1" s="2622" t="s">
        <v>2275</v>
      </c>
      <c r="C1" s="2623" t="s">
        <v>2276</v>
      </c>
      <c r="D1" s="2624"/>
      <c r="E1" s="842" t="s">
        <v>2277</v>
      </c>
    </row>
    <row customHeight="1" ht="11.25">
      <c r="A2" s="2625"/>
      <c r="B2" s="771" t="s">
        <v>26</v>
      </c>
      <c r="C2" s="759"/>
      <c r="D2" s="770"/>
      <c r="E2" s="842"/>
    </row>
    <row customHeight="1" ht="11.25">
      <c r="A3" s="2626"/>
      <c r="B3" s="2627" t="s">
        <v>33</v>
      </c>
      <c r="C3" s="759"/>
      <c r="D3" s="770"/>
      <c r="E3" s="842"/>
    </row>
    <row customHeight="1" ht="11.25">
      <c r="A4" s="2628"/>
      <c r="B4" s="772" t="s">
        <v>1702</v>
      </c>
      <c r="C4" s="759"/>
      <c r="D4" s="770"/>
      <c r="E4" s="842"/>
    </row>
    <row customHeight="1" ht="11.25">
      <c r="A5" s="2629"/>
      <c r="B5" s="772" t="s">
        <v>1696</v>
      </c>
      <c r="C5" s="2630" t="s">
        <v>2041</v>
      </c>
      <c r="D5" s="2631" t="s">
        <v>2278</v>
      </c>
      <c r="E5" s="842"/>
    </row>
    <row s="1856" customFormat="1" customHeight="1" ht="11.25">
      <c r="A6" s="2632"/>
      <c r="B6" s="772" t="s">
        <v>1706</v>
      </c>
      <c r="C6" s="759"/>
      <c r="D6" s="770"/>
      <c r="E6" s="842"/>
    </row>
    <row customHeight="1" ht="11.25">
      <c r="A7" s="2633"/>
      <c r="B7" s="772" t="s">
        <v>1714</v>
      </c>
      <c r="C7" s="759"/>
      <c r="D7" s="770"/>
      <c r="E7" s="842"/>
    </row>
    <row customHeight="1" ht="11.25">
      <c r="A8" s="762"/>
      <c r="B8" s="772" t="s">
        <v>1709</v>
      </c>
      <c r="C8" s="759"/>
      <c r="D8" s="770"/>
      <c r="E8" s="842"/>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26709-95D2-3F45-09C1-C7138540A00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1FEF53-72F3-5E59-27D4-6C157B1BF21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AC3726-AE99-327D-B3AF-9B47A5A02D32}" mc:Ignorable="x14ac xr xr2 xr3">
  <sheetPr>
    <tabColor rgb="FFFFCC99"/>
  </sheetPr>
  <dimension ref="A1:I787"/>
  <sheetViews>
    <sheetView topLeftCell="A1" showGridLines="0" workbookViewId="0">
      <selection activeCell="A1" sqref="A1"/>
    </sheetView>
  </sheetViews>
  <sheetFormatPr defaultColWidth="9.140625" customHeight="1" defaultRowHeight="11.25"/>
  <cols>
    <col min="1" max="2" style="1856" width="9.140625"/>
    <col min="3" max="3" style="1856" width="20.7109375" customWidth="1"/>
    <col min="4" max="4" style="1856" width="25.140625" customWidth="1"/>
    <col min="5" max="9" style="1856" width="9.140625"/>
  </cols>
  <sheetData>
    <row customHeight="1" ht="11.25">
      <c r="A1" s="74" t="s">
        <v>2279</v>
      </c>
      <c r="B1" s="74" t="s">
        <v>2280</v>
      </c>
      <c r="C1" s="74" t="s">
        <v>2281</v>
      </c>
      <c r="D1" s="74" t="s">
        <v>2282</v>
      </c>
      <c r="E1" s="74" t="s">
        <v>2283</v>
      </c>
      <c r="F1" s="74" t="s">
        <v>2284</v>
      </c>
      <c r="G1" s="74" t="s">
        <v>2285</v>
      </c>
      <c r="H1" s="74" t="s">
        <v>2286</v>
      </c>
      <c r="I1" s="74" t="s">
        <v>2287</v>
      </c>
    </row>
    <row customHeight="1" ht="11.25">
      <c r="A2" s="1856" t="s">
        <v>2288</v>
      </c>
      <c r="B2" s="1856" t="s">
        <v>16</v>
      </c>
      <c r="C2" s="1856" t="s">
        <v>2289</v>
      </c>
      <c r="D2" s="1856" t="s">
        <v>2290</v>
      </c>
      <c r="E2" s="1856" t="s">
        <v>2291</v>
      </c>
      <c r="F2" s="1856" t="s">
        <v>2292</v>
      </c>
      <c r="G2" s="1856" t="s">
        <v>2293</v>
      </c>
      <c r="H2" s="1856" t="s">
        <v>28</v>
      </c>
      <c r="I2" s="1856" t="s">
        <v>844</v>
      </c>
    </row>
    <row customHeight="1" ht="11.25">
      <c r="A3" s="1856" t="s">
        <v>2288</v>
      </c>
      <c r="B3" s="1856" t="s">
        <v>16</v>
      </c>
      <c r="C3" s="1856" t="s">
        <v>2294</v>
      </c>
      <c r="D3" s="1856" t="s">
        <v>2295</v>
      </c>
      <c r="E3" s="1856" t="s">
        <v>2291</v>
      </c>
      <c r="F3" s="1856" t="s">
        <v>2296</v>
      </c>
      <c r="G3" s="1856" t="s">
        <v>2293</v>
      </c>
      <c r="H3" s="1856" t="s">
        <v>28</v>
      </c>
      <c r="I3" s="1856" t="s">
        <v>844</v>
      </c>
    </row>
    <row customHeight="1" ht="11.25">
      <c r="A4" s="1856" t="s">
        <v>2288</v>
      </c>
      <c r="B4" s="1856" t="s">
        <v>16</v>
      </c>
      <c r="C4" s="1856" t="s">
        <v>2297</v>
      </c>
      <c r="D4" s="1856" t="s">
        <v>2298</v>
      </c>
      <c r="E4" s="1856" t="s">
        <v>2299</v>
      </c>
      <c r="F4" s="1856" t="s">
        <v>2300</v>
      </c>
      <c r="G4" s="1856" t="s">
        <v>2301</v>
      </c>
      <c r="H4" s="1856" t="s">
        <v>28</v>
      </c>
      <c r="I4" s="1856" t="s">
        <v>844</v>
      </c>
    </row>
    <row customHeight="1" ht="11.25">
      <c r="A5" s="1856" t="s">
        <v>2288</v>
      </c>
      <c r="B5" s="1856" t="s">
        <v>16</v>
      </c>
      <c r="C5" s="1856" t="s">
        <v>2302</v>
      </c>
      <c r="D5" s="1856" t="s">
        <v>2303</v>
      </c>
      <c r="E5" s="1856" t="s">
        <v>2304</v>
      </c>
      <c r="F5" s="1856" t="s">
        <v>2305</v>
      </c>
      <c r="G5" s="1856" t="s">
        <v>28</v>
      </c>
      <c r="H5" s="1856" t="s">
        <v>28</v>
      </c>
      <c r="I5" s="1856" t="s">
        <v>844</v>
      </c>
    </row>
    <row customHeight="1" ht="11.25">
      <c r="A6" s="1856" t="s">
        <v>2288</v>
      </c>
      <c r="B6" s="1856" t="s">
        <v>16</v>
      </c>
      <c r="C6" s="1856" t="s">
        <v>2306</v>
      </c>
      <c r="D6" s="1856" t="s">
        <v>2303</v>
      </c>
      <c r="E6" s="1856" t="s">
        <v>2304</v>
      </c>
      <c r="F6" s="1856" t="s">
        <v>2307</v>
      </c>
      <c r="G6" s="1856" t="s">
        <v>28</v>
      </c>
      <c r="H6" s="1856" t="s">
        <v>28</v>
      </c>
      <c r="I6" s="1856" t="s">
        <v>844</v>
      </c>
    </row>
    <row customHeight="1" ht="11.25">
      <c r="A7" s="1856" t="s">
        <v>2288</v>
      </c>
      <c r="B7" s="1856" t="s">
        <v>16</v>
      </c>
      <c r="C7" s="1856" t="s">
        <v>2308</v>
      </c>
      <c r="D7" s="1856" t="s">
        <v>2309</v>
      </c>
      <c r="E7" s="1856" t="s">
        <v>2310</v>
      </c>
      <c r="F7" s="1856" t="s">
        <v>2300</v>
      </c>
      <c r="G7" s="1856" t="s">
        <v>2311</v>
      </c>
      <c r="H7" s="1856" t="s">
        <v>28</v>
      </c>
      <c r="I7" s="1856" t="s">
        <v>844</v>
      </c>
    </row>
    <row customHeight="1" ht="11.25">
      <c r="A8" s="1856" t="s">
        <v>2288</v>
      </c>
      <c r="B8" s="1856" t="s">
        <v>16</v>
      </c>
      <c r="C8" s="1856" t="s">
        <v>2312</v>
      </c>
      <c r="D8" s="1856" t="s">
        <v>2313</v>
      </c>
      <c r="E8" s="1856" t="s">
        <v>51</v>
      </c>
      <c r="F8" s="1856" t="s">
        <v>2314</v>
      </c>
      <c r="G8" s="1856" t="s">
        <v>2315</v>
      </c>
      <c r="H8" s="1856" t="s">
        <v>28</v>
      </c>
      <c r="I8" s="1856" t="s">
        <v>844</v>
      </c>
    </row>
    <row customHeight="1" ht="11.25">
      <c r="A9" s="1856" t="s">
        <v>2288</v>
      </c>
      <c r="B9" s="1856" t="s">
        <v>16</v>
      </c>
      <c r="C9" s="1856" t="s">
        <v>2316</v>
      </c>
      <c r="D9" s="1856" t="s">
        <v>2317</v>
      </c>
      <c r="E9" s="1856" t="s">
        <v>2318</v>
      </c>
      <c r="F9" s="1856" t="s">
        <v>2319</v>
      </c>
      <c r="G9" s="1856" t="s">
        <v>2320</v>
      </c>
      <c r="H9" s="1856" t="s">
        <v>28</v>
      </c>
      <c r="I9" s="1856" t="s">
        <v>844</v>
      </c>
    </row>
    <row customHeight="1" ht="11.25">
      <c r="A10" s="1856" t="s">
        <v>2288</v>
      </c>
      <c r="B10" s="1856" t="s">
        <v>16</v>
      </c>
      <c r="C10" s="1856" t="s">
        <v>2321</v>
      </c>
      <c r="D10" s="1856" t="s">
        <v>2322</v>
      </c>
      <c r="E10" s="1856" t="s">
        <v>2323</v>
      </c>
      <c r="F10" s="1856" t="s">
        <v>2300</v>
      </c>
      <c r="G10" s="1856" t="s">
        <v>2324</v>
      </c>
      <c r="H10" s="1856" t="s">
        <v>28</v>
      </c>
      <c r="I10" s="1856" t="s">
        <v>844</v>
      </c>
    </row>
    <row customHeight="1" ht="11.25">
      <c r="A11" s="1856" t="s">
        <v>2288</v>
      </c>
      <c r="B11" s="1856" t="s">
        <v>16</v>
      </c>
      <c r="C11" s="1856" t="s">
        <v>2325</v>
      </c>
      <c r="D11" s="1856" t="s">
        <v>2326</v>
      </c>
      <c r="E11" s="1856" t="s">
        <v>2327</v>
      </c>
      <c r="F11" s="1856" t="s">
        <v>2328</v>
      </c>
      <c r="G11" s="1856" t="s">
        <v>2329</v>
      </c>
      <c r="H11" s="1856" t="s">
        <v>28</v>
      </c>
      <c r="I11" s="1856" t="s">
        <v>844</v>
      </c>
    </row>
    <row customHeight="1" ht="11.25">
      <c r="A12" s="1856" t="s">
        <v>2288</v>
      </c>
      <c r="B12" s="1856" t="s">
        <v>16</v>
      </c>
      <c r="C12" s="1856" t="s">
        <v>2330</v>
      </c>
      <c r="D12" s="1856" t="s">
        <v>2331</v>
      </c>
      <c r="E12" s="1856" t="s">
        <v>2332</v>
      </c>
      <c r="F12" s="1856" t="s">
        <v>2333</v>
      </c>
      <c r="G12" s="1856" t="s">
        <v>2334</v>
      </c>
      <c r="H12" s="1856" t="s">
        <v>28</v>
      </c>
      <c r="I12" s="1856" t="s">
        <v>844</v>
      </c>
    </row>
    <row customHeight="1" ht="11.25">
      <c r="A13" s="1856" t="s">
        <v>2288</v>
      </c>
      <c r="B13" s="1856" t="s">
        <v>16</v>
      </c>
      <c r="C13" s="1856" t="s">
        <v>2335</v>
      </c>
      <c r="D13" s="1856" t="s">
        <v>2336</v>
      </c>
      <c r="E13" s="1856" t="s">
        <v>2337</v>
      </c>
      <c r="F13" s="1856" t="s">
        <v>2338</v>
      </c>
      <c r="G13" s="1856" t="s">
        <v>2339</v>
      </c>
      <c r="H13" s="1856" t="s">
        <v>28</v>
      </c>
      <c r="I13" s="1856" t="s">
        <v>844</v>
      </c>
    </row>
    <row customHeight="1" ht="11.25">
      <c r="A14" s="1856" t="s">
        <v>2288</v>
      </c>
      <c r="B14" s="1856" t="s">
        <v>16</v>
      </c>
      <c r="C14" s="1856" t="s">
        <v>2340</v>
      </c>
      <c r="D14" s="1856" t="s">
        <v>2341</v>
      </c>
      <c r="E14" s="1856" t="s">
        <v>2337</v>
      </c>
      <c r="F14" s="1856" t="s">
        <v>2342</v>
      </c>
      <c r="G14" s="1856" t="s">
        <v>2339</v>
      </c>
      <c r="H14" s="1856" t="s">
        <v>28</v>
      </c>
      <c r="I14" s="1856" t="s">
        <v>844</v>
      </c>
    </row>
    <row customHeight="1" ht="11.25">
      <c r="A15" s="1856" t="s">
        <v>2288</v>
      </c>
      <c r="B15" s="1856" t="s">
        <v>16</v>
      </c>
      <c r="C15" s="1856" t="s">
        <v>2343</v>
      </c>
      <c r="D15" s="1856" t="s">
        <v>2344</v>
      </c>
      <c r="E15" s="1856" t="s">
        <v>2337</v>
      </c>
      <c r="F15" s="1856" t="s">
        <v>2345</v>
      </c>
      <c r="G15" s="1856" t="s">
        <v>2339</v>
      </c>
      <c r="H15" s="1856" t="s">
        <v>28</v>
      </c>
      <c r="I15" s="1856" t="s">
        <v>844</v>
      </c>
    </row>
    <row customHeight="1" ht="11.25">
      <c r="A16" s="1856" t="s">
        <v>2288</v>
      </c>
      <c r="B16" s="1856" t="s">
        <v>16</v>
      </c>
      <c r="C16" s="1856" t="s">
        <v>2346</v>
      </c>
      <c r="D16" s="1856" t="s">
        <v>2347</v>
      </c>
      <c r="E16" s="1856" t="s">
        <v>2337</v>
      </c>
      <c r="F16" s="1856" t="s">
        <v>2348</v>
      </c>
      <c r="G16" s="1856" t="s">
        <v>2339</v>
      </c>
      <c r="H16" s="1856" t="s">
        <v>28</v>
      </c>
      <c r="I16" s="1856" t="s">
        <v>844</v>
      </c>
    </row>
    <row customHeight="1" ht="11.25">
      <c r="A17" s="1856" t="s">
        <v>2288</v>
      </c>
      <c r="B17" s="1856" t="s">
        <v>16</v>
      </c>
      <c r="C17" s="1856" t="s">
        <v>2349</v>
      </c>
      <c r="D17" s="1856" t="s">
        <v>2350</v>
      </c>
      <c r="E17" s="1856" t="s">
        <v>2337</v>
      </c>
      <c r="F17" s="1856" t="s">
        <v>2351</v>
      </c>
      <c r="G17" s="1856" t="s">
        <v>2339</v>
      </c>
      <c r="H17" s="1856" t="s">
        <v>28</v>
      </c>
      <c r="I17" s="1856" t="s">
        <v>844</v>
      </c>
    </row>
    <row customHeight="1" ht="11.25">
      <c r="A18" s="1856" t="s">
        <v>2288</v>
      </c>
      <c r="B18" s="1856" t="s">
        <v>16</v>
      </c>
      <c r="C18" s="1856" t="s">
        <v>2352</v>
      </c>
      <c r="D18" s="1856" t="s">
        <v>2353</v>
      </c>
      <c r="E18" s="1856" t="s">
        <v>2337</v>
      </c>
      <c r="F18" s="1856" t="s">
        <v>2354</v>
      </c>
      <c r="G18" s="1856" t="s">
        <v>2339</v>
      </c>
      <c r="H18" s="1856" t="s">
        <v>28</v>
      </c>
      <c r="I18" s="1856" t="s">
        <v>844</v>
      </c>
    </row>
    <row customHeight="1" ht="11.25">
      <c r="A19" s="1856" t="s">
        <v>2288</v>
      </c>
      <c r="B19" s="1856" t="s">
        <v>16</v>
      </c>
      <c r="C19" s="1856" t="s">
        <v>2355</v>
      </c>
      <c r="D19" s="1856" t="s">
        <v>2356</v>
      </c>
      <c r="E19" s="1856" t="s">
        <v>2337</v>
      </c>
      <c r="F19" s="1856" t="s">
        <v>2357</v>
      </c>
      <c r="G19" s="1856" t="s">
        <v>2339</v>
      </c>
      <c r="H19" s="1856" t="s">
        <v>28</v>
      </c>
      <c r="I19" s="1856" t="s">
        <v>844</v>
      </c>
    </row>
    <row customHeight="1" ht="11.25">
      <c r="A20" s="1856" t="s">
        <v>2288</v>
      </c>
      <c r="B20" s="1856" t="s">
        <v>16</v>
      </c>
      <c r="C20" s="1856" t="s">
        <v>2358</v>
      </c>
      <c r="D20" s="1856" t="s">
        <v>2359</v>
      </c>
      <c r="E20" s="1856" t="s">
        <v>2337</v>
      </c>
      <c r="F20" s="1856" t="s">
        <v>2360</v>
      </c>
      <c r="G20" s="1856" t="s">
        <v>2339</v>
      </c>
      <c r="H20" s="1856" t="s">
        <v>28</v>
      </c>
      <c r="I20" s="1856" t="s">
        <v>844</v>
      </c>
    </row>
    <row customHeight="1" ht="11.25">
      <c r="A21" s="1856" t="s">
        <v>2288</v>
      </c>
      <c r="B21" s="1856" t="s">
        <v>16</v>
      </c>
      <c r="C21" s="1856" t="s">
        <v>2361</v>
      </c>
      <c r="D21" s="1856" t="s">
        <v>2362</v>
      </c>
      <c r="E21" s="1856" t="s">
        <v>2363</v>
      </c>
      <c r="F21" s="1856" t="s">
        <v>2338</v>
      </c>
      <c r="G21" s="1856" t="s">
        <v>2364</v>
      </c>
      <c r="H21" s="1856" t="s">
        <v>28</v>
      </c>
      <c r="I21" s="1856" t="s">
        <v>844</v>
      </c>
    </row>
    <row customHeight="1" ht="11.25">
      <c r="A22" s="1856" t="s">
        <v>2288</v>
      </c>
      <c r="B22" s="1856" t="s">
        <v>16</v>
      </c>
      <c r="C22" s="1856" t="s">
        <v>2365</v>
      </c>
      <c r="D22" s="1856" t="s">
        <v>2366</v>
      </c>
      <c r="E22" s="1856" t="s">
        <v>2363</v>
      </c>
      <c r="F22" s="1856" t="s">
        <v>2367</v>
      </c>
      <c r="G22" s="1856" t="s">
        <v>2364</v>
      </c>
      <c r="H22" s="1856" t="s">
        <v>28</v>
      </c>
      <c r="I22" s="1856" t="s">
        <v>844</v>
      </c>
    </row>
    <row customHeight="1" ht="11.25">
      <c r="A23" s="1856" t="s">
        <v>2288</v>
      </c>
      <c r="B23" s="1856" t="s">
        <v>16</v>
      </c>
      <c r="C23" s="1856" t="s">
        <v>2368</v>
      </c>
      <c r="D23" s="1856" t="s">
        <v>2369</v>
      </c>
      <c r="E23" s="1856" t="s">
        <v>2363</v>
      </c>
      <c r="F23" s="1856" t="s">
        <v>2370</v>
      </c>
      <c r="G23" s="1856" t="s">
        <v>2364</v>
      </c>
      <c r="H23" s="1856" t="s">
        <v>28</v>
      </c>
      <c r="I23" s="1856" t="s">
        <v>844</v>
      </c>
    </row>
    <row customHeight="1" ht="11.25">
      <c r="A24" s="1856" t="s">
        <v>2288</v>
      </c>
      <c r="B24" s="1856" t="s">
        <v>16</v>
      </c>
      <c r="C24" s="1856" t="s">
        <v>2371</v>
      </c>
      <c r="D24" s="1856" t="s">
        <v>2372</v>
      </c>
      <c r="E24" s="1856" t="s">
        <v>2363</v>
      </c>
      <c r="F24" s="1856" t="s">
        <v>2373</v>
      </c>
      <c r="G24" s="1856" t="s">
        <v>2364</v>
      </c>
      <c r="H24" s="1856" t="s">
        <v>28</v>
      </c>
      <c r="I24" s="1856" t="s">
        <v>844</v>
      </c>
    </row>
    <row customHeight="1" ht="11.25">
      <c r="A25" s="1856" t="s">
        <v>2288</v>
      </c>
      <c r="B25" s="1856" t="s">
        <v>16</v>
      </c>
      <c r="C25" s="1856" t="s">
        <v>2374</v>
      </c>
      <c r="D25" s="1856" t="s">
        <v>2375</v>
      </c>
      <c r="E25" s="1856" t="s">
        <v>2363</v>
      </c>
      <c r="F25" s="1856" t="s">
        <v>2376</v>
      </c>
      <c r="G25" s="1856" t="s">
        <v>2364</v>
      </c>
      <c r="H25" s="1856" t="s">
        <v>28</v>
      </c>
      <c r="I25" s="1856" t="s">
        <v>844</v>
      </c>
    </row>
    <row customHeight="1" ht="11.25">
      <c r="A26" s="1856" t="s">
        <v>2288</v>
      </c>
      <c r="B26" s="1856" t="s">
        <v>16</v>
      </c>
      <c r="C26" s="1856" t="s">
        <v>2377</v>
      </c>
      <c r="D26" s="1856" t="s">
        <v>2378</v>
      </c>
      <c r="E26" s="1856" t="s">
        <v>2363</v>
      </c>
      <c r="F26" s="1856" t="s">
        <v>2379</v>
      </c>
      <c r="G26" s="1856" t="s">
        <v>2364</v>
      </c>
      <c r="H26" s="1856" t="s">
        <v>28</v>
      </c>
      <c r="I26" s="1856" t="s">
        <v>844</v>
      </c>
    </row>
    <row customHeight="1" ht="11.25">
      <c r="A27" s="1856" t="s">
        <v>2288</v>
      </c>
      <c r="B27" s="1856" t="s">
        <v>16</v>
      </c>
      <c r="C27" s="1856" t="s">
        <v>2380</v>
      </c>
      <c r="D27" s="1856" t="s">
        <v>2381</v>
      </c>
      <c r="E27" s="1856" t="s">
        <v>2363</v>
      </c>
      <c r="F27" s="1856" t="s">
        <v>2382</v>
      </c>
      <c r="G27" s="1856" t="s">
        <v>2364</v>
      </c>
      <c r="H27" s="1856" t="s">
        <v>28</v>
      </c>
      <c r="I27" s="1856" t="s">
        <v>844</v>
      </c>
    </row>
    <row customHeight="1" ht="11.25">
      <c r="A28" s="1856" t="s">
        <v>2288</v>
      </c>
      <c r="B28" s="1856" t="s">
        <v>16</v>
      </c>
      <c r="C28" s="1856" t="s">
        <v>2383</v>
      </c>
      <c r="D28" s="1856" t="s">
        <v>2384</v>
      </c>
      <c r="E28" s="1856" t="s">
        <v>2363</v>
      </c>
      <c r="F28" s="1856" t="s">
        <v>2385</v>
      </c>
      <c r="G28" s="1856" t="s">
        <v>2364</v>
      </c>
      <c r="H28" s="1856" t="s">
        <v>28</v>
      </c>
      <c r="I28" s="1856" t="s">
        <v>844</v>
      </c>
    </row>
    <row customHeight="1" ht="11.25">
      <c r="A29" s="1856" t="s">
        <v>2288</v>
      </c>
      <c r="B29" s="1856" t="s">
        <v>16</v>
      </c>
      <c r="C29" s="1856" t="s">
        <v>2386</v>
      </c>
      <c r="D29" s="1856" t="s">
        <v>2387</v>
      </c>
      <c r="E29" s="1856" t="s">
        <v>2363</v>
      </c>
      <c r="F29" s="1856" t="s">
        <v>2354</v>
      </c>
      <c r="G29" s="1856" t="s">
        <v>2364</v>
      </c>
      <c r="H29" s="1856" t="s">
        <v>28</v>
      </c>
      <c r="I29" s="1856" t="s">
        <v>844</v>
      </c>
    </row>
    <row customHeight="1" ht="11.25">
      <c r="A30" s="1856" t="s">
        <v>2288</v>
      </c>
      <c r="B30" s="1856" t="s">
        <v>16</v>
      </c>
      <c r="C30" s="1856" t="s">
        <v>2388</v>
      </c>
      <c r="D30" s="1856" t="s">
        <v>2389</v>
      </c>
      <c r="E30" s="1856" t="s">
        <v>2390</v>
      </c>
      <c r="F30" s="1856" t="s">
        <v>2391</v>
      </c>
      <c r="G30" s="1856" t="s">
        <v>2392</v>
      </c>
      <c r="H30" s="1856" t="s">
        <v>28</v>
      </c>
      <c r="I30" s="1856" t="s">
        <v>844</v>
      </c>
    </row>
    <row customHeight="1" ht="11.25">
      <c r="A31" s="1856" t="s">
        <v>2288</v>
      </c>
      <c r="B31" s="1856" t="s">
        <v>16</v>
      </c>
      <c r="C31" s="1856" t="s">
        <v>2393</v>
      </c>
      <c r="D31" s="1856" t="s">
        <v>2394</v>
      </c>
      <c r="E31" s="1856" t="s">
        <v>2395</v>
      </c>
      <c r="F31" s="1856" t="s">
        <v>2300</v>
      </c>
      <c r="G31" s="1856" t="s">
        <v>2396</v>
      </c>
      <c r="H31" s="1856" t="s">
        <v>28</v>
      </c>
      <c r="I31" s="1856" t="s">
        <v>844</v>
      </c>
    </row>
    <row customHeight="1" ht="11.25">
      <c r="A32" s="1856" t="s">
        <v>2288</v>
      </c>
      <c r="B32" s="1856" t="s">
        <v>16</v>
      </c>
      <c r="C32" s="1856" t="s">
        <v>2397</v>
      </c>
      <c r="D32" s="1856" t="s">
        <v>2398</v>
      </c>
      <c r="E32" s="1856" t="s">
        <v>2399</v>
      </c>
      <c r="F32" s="1856" t="s">
        <v>2400</v>
      </c>
      <c r="G32" s="1856" t="s">
        <v>2401</v>
      </c>
      <c r="H32" s="1856" t="s">
        <v>28</v>
      </c>
      <c r="I32" s="1856" t="s">
        <v>844</v>
      </c>
    </row>
    <row customHeight="1" ht="11.25">
      <c r="A33" s="1856" t="s">
        <v>2288</v>
      </c>
      <c r="B33" s="1856" t="s">
        <v>16</v>
      </c>
      <c r="C33" s="1856" t="s">
        <v>2402</v>
      </c>
      <c r="D33" s="1856" t="s">
        <v>2403</v>
      </c>
      <c r="E33" s="1856" t="s">
        <v>2404</v>
      </c>
      <c r="F33" s="1856" t="s">
        <v>2300</v>
      </c>
      <c r="G33" s="1856" t="s">
        <v>2405</v>
      </c>
      <c r="H33" s="1856" t="s">
        <v>28</v>
      </c>
      <c r="I33" s="1856" t="s">
        <v>844</v>
      </c>
    </row>
    <row customHeight="1" ht="11.25">
      <c r="A34" s="1856" t="s">
        <v>2288</v>
      </c>
      <c r="B34" s="1856" t="s">
        <v>16</v>
      </c>
      <c r="C34" s="1856" t="s">
        <v>13</v>
      </c>
      <c r="D34" s="1856" t="s">
        <v>48</v>
      </c>
      <c r="E34" s="1856" t="s">
        <v>51</v>
      </c>
      <c r="F34" s="1856" t="s">
        <v>53</v>
      </c>
      <c r="G34" s="1856" t="s">
        <v>2315</v>
      </c>
      <c r="H34" s="1856" t="s">
        <v>28</v>
      </c>
      <c r="I34" s="1856" t="s">
        <v>844</v>
      </c>
    </row>
    <row customHeight="1" ht="11.25">
      <c r="A35" s="1856" t="s">
        <v>2288</v>
      </c>
      <c r="B35" s="1856" t="s">
        <v>16</v>
      </c>
      <c r="C35" s="1856" t="s">
        <v>2406</v>
      </c>
      <c r="D35" s="1856" t="s">
        <v>2407</v>
      </c>
      <c r="E35" s="1856" t="s">
        <v>2408</v>
      </c>
      <c r="F35" s="1856" t="s">
        <v>2409</v>
      </c>
      <c r="G35" s="1856" t="s">
        <v>2410</v>
      </c>
      <c r="H35" s="1856" t="s">
        <v>28</v>
      </c>
      <c r="I35" s="1856" t="s">
        <v>844</v>
      </c>
    </row>
    <row customHeight="1" ht="11.25">
      <c r="A36" s="1856" t="s">
        <v>2288</v>
      </c>
      <c r="B36" s="1856" t="s">
        <v>16</v>
      </c>
      <c r="C36" s="1856" t="s">
        <v>2411</v>
      </c>
      <c r="D36" s="1856" t="s">
        <v>2412</v>
      </c>
      <c r="E36" s="1856" t="s">
        <v>2413</v>
      </c>
      <c r="F36" s="1856" t="s">
        <v>2300</v>
      </c>
      <c r="G36" s="1856" t="s">
        <v>2414</v>
      </c>
      <c r="H36" s="1856" t="s">
        <v>28</v>
      </c>
      <c r="I36" s="1856" t="s">
        <v>844</v>
      </c>
    </row>
    <row customHeight="1" ht="11.25">
      <c r="A37" s="1856" t="s">
        <v>2288</v>
      </c>
      <c r="B37" s="1856" t="s">
        <v>16</v>
      </c>
      <c r="C37" s="1856" t="s">
        <v>2415</v>
      </c>
      <c r="D37" s="1856" t="s">
        <v>2416</v>
      </c>
      <c r="E37" s="1856" t="s">
        <v>2417</v>
      </c>
      <c r="F37" s="1856" t="s">
        <v>2300</v>
      </c>
      <c r="G37" s="1856" t="s">
        <v>2418</v>
      </c>
      <c r="H37" s="1856" t="s">
        <v>28</v>
      </c>
      <c r="I37" s="1856" t="s">
        <v>844</v>
      </c>
    </row>
    <row customHeight="1" ht="11.25">
      <c r="A38" s="1856" t="s">
        <v>2288</v>
      </c>
      <c r="B38" s="1856" t="s">
        <v>16</v>
      </c>
      <c r="C38" s="1856" t="s">
        <v>2419</v>
      </c>
      <c r="D38" s="1856" t="s">
        <v>2420</v>
      </c>
      <c r="E38" s="1856" t="s">
        <v>2421</v>
      </c>
      <c r="F38" s="1856" t="s">
        <v>2400</v>
      </c>
      <c r="G38" s="1856" t="s">
        <v>2422</v>
      </c>
      <c r="H38" s="1856" t="s">
        <v>28</v>
      </c>
      <c r="I38" s="1856" t="s">
        <v>844</v>
      </c>
    </row>
    <row customHeight="1" ht="11.25">
      <c r="A39" s="1856" t="s">
        <v>2288</v>
      </c>
      <c r="B39" s="1856" t="s">
        <v>16</v>
      </c>
      <c r="C39" s="1856" t="s">
        <v>2423</v>
      </c>
      <c r="D39" s="1856" t="s">
        <v>2424</v>
      </c>
      <c r="E39" s="1856" t="s">
        <v>2425</v>
      </c>
      <c r="F39" s="1856" t="s">
        <v>2426</v>
      </c>
      <c r="G39" s="1856" t="s">
        <v>2427</v>
      </c>
      <c r="H39" s="1856" t="s">
        <v>28</v>
      </c>
      <c r="I39" s="1856" t="s">
        <v>844</v>
      </c>
    </row>
    <row customHeight="1" ht="11.25">
      <c r="A40" s="1856" t="s">
        <v>2288</v>
      </c>
      <c r="B40" s="1856" t="s">
        <v>16</v>
      </c>
      <c r="C40" s="1856" t="s">
        <v>2428</v>
      </c>
      <c r="D40" s="1856" t="s">
        <v>2429</v>
      </c>
      <c r="E40" s="1856" t="s">
        <v>2430</v>
      </c>
      <c r="F40" s="1856" t="s">
        <v>2431</v>
      </c>
      <c r="G40" s="1856" t="s">
        <v>2432</v>
      </c>
      <c r="H40" s="1856" t="s">
        <v>28</v>
      </c>
      <c r="I40" s="1856" t="s">
        <v>844</v>
      </c>
    </row>
    <row customHeight="1" ht="11.25">
      <c r="A41" s="1856" t="s">
        <v>2288</v>
      </c>
      <c r="B41" s="1856" t="s">
        <v>16</v>
      </c>
      <c r="C41" s="1856" t="s">
        <v>2433</v>
      </c>
      <c r="D41" s="1856" t="s">
        <v>2434</v>
      </c>
      <c r="E41" s="1856" t="s">
        <v>2425</v>
      </c>
      <c r="F41" s="1856" t="s">
        <v>2435</v>
      </c>
      <c r="G41" s="1856" t="s">
        <v>2436</v>
      </c>
      <c r="H41" s="1856" t="s">
        <v>28</v>
      </c>
      <c r="I41" s="1856" t="s">
        <v>844</v>
      </c>
    </row>
    <row customHeight="1" ht="11.25">
      <c r="A42" s="1856" t="s">
        <v>2288</v>
      </c>
      <c r="B42" s="1856" t="s">
        <v>16</v>
      </c>
      <c r="C42" s="1856" t="s">
        <v>2437</v>
      </c>
      <c r="D42" s="1856" t="s">
        <v>2438</v>
      </c>
      <c r="E42" s="1856" t="s">
        <v>2439</v>
      </c>
      <c r="F42" s="1856" t="s">
        <v>2300</v>
      </c>
      <c r="G42" s="1856" t="s">
        <v>2440</v>
      </c>
      <c r="H42" s="1856" t="s">
        <v>28</v>
      </c>
      <c r="I42" s="1856" t="s">
        <v>844</v>
      </c>
    </row>
    <row customHeight="1" ht="11.25">
      <c r="A43" s="1856" t="s">
        <v>2288</v>
      </c>
      <c r="B43" s="1856" t="s">
        <v>16</v>
      </c>
      <c r="C43" s="1856" t="s">
        <v>2441</v>
      </c>
      <c r="D43" s="1856" t="s">
        <v>2442</v>
      </c>
      <c r="E43" s="1856" t="s">
        <v>2443</v>
      </c>
      <c r="F43" s="1856" t="s">
        <v>2400</v>
      </c>
      <c r="G43" s="1856" t="s">
        <v>2444</v>
      </c>
      <c r="H43" s="1856" t="s">
        <v>28</v>
      </c>
      <c r="I43" s="1856" t="s">
        <v>844</v>
      </c>
    </row>
    <row customHeight="1" ht="11.25">
      <c r="A44" s="1856" t="s">
        <v>2288</v>
      </c>
      <c r="B44" s="1856" t="s">
        <v>16</v>
      </c>
      <c r="C44" s="1856" t="s">
        <v>2445</v>
      </c>
      <c r="D44" s="1856" t="s">
        <v>2446</v>
      </c>
      <c r="E44" s="1856" t="s">
        <v>2447</v>
      </c>
      <c r="F44" s="1856" t="s">
        <v>2300</v>
      </c>
      <c r="G44" s="1856" t="s">
        <v>2448</v>
      </c>
      <c r="H44" s="1856" t="s">
        <v>28</v>
      </c>
      <c r="I44" s="1856" t="s">
        <v>844</v>
      </c>
    </row>
    <row customHeight="1" ht="11.25">
      <c r="A45" s="1856" t="s">
        <v>2288</v>
      </c>
      <c r="B45" s="1856" t="s">
        <v>16</v>
      </c>
      <c r="C45" s="1856" t="s">
        <v>2449</v>
      </c>
      <c r="D45" s="1856" t="s">
        <v>2450</v>
      </c>
      <c r="E45" s="1856" t="s">
        <v>2451</v>
      </c>
      <c r="F45" s="1856" t="s">
        <v>2300</v>
      </c>
      <c r="G45" s="1856" t="s">
        <v>2452</v>
      </c>
      <c r="H45" s="1856" t="s">
        <v>28</v>
      </c>
      <c r="I45" s="1856" t="s">
        <v>844</v>
      </c>
    </row>
    <row customHeight="1" ht="11.25">
      <c r="A46" s="1856" t="s">
        <v>2288</v>
      </c>
      <c r="B46" s="1856" t="s">
        <v>16</v>
      </c>
      <c r="C46" s="1856" t="s">
        <v>28</v>
      </c>
      <c r="D46" s="1856" t="s">
        <v>2453</v>
      </c>
      <c r="E46" s="1856" t="s">
        <v>2454</v>
      </c>
      <c r="F46" s="1856" t="s">
        <v>2300</v>
      </c>
      <c r="G46" s="1856" t="s">
        <v>28</v>
      </c>
      <c r="H46" s="1856" t="s">
        <v>28</v>
      </c>
      <c r="I46" s="1856" t="s">
        <v>844</v>
      </c>
    </row>
    <row customHeight="1" ht="11.25">
      <c r="A47" s="1856" t="s">
        <v>2288</v>
      </c>
      <c r="B47" s="1856" t="s">
        <v>16</v>
      </c>
      <c r="C47" s="1856" t="s">
        <v>2455</v>
      </c>
      <c r="D47" s="1856" t="s">
        <v>2456</v>
      </c>
      <c r="E47" s="1856" t="s">
        <v>2457</v>
      </c>
      <c r="F47" s="1856" t="s">
        <v>2300</v>
      </c>
      <c r="G47" s="1856" t="s">
        <v>2458</v>
      </c>
      <c r="H47" s="1856" t="s">
        <v>28</v>
      </c>
      <c r="I47" s="1856" t="s">
        <v>844</v>
      </c>
    </row>
    <row customHeight="1" ht="11.25">
      <c r="A48" s="1856" t="s">
        <v>2288</v>
      </c>
      <c r="B48" s="1856" t="s">
        <v>16</v>
      </c>
      <c r="C48" s="1856" t="s">
        <v>2459</v>
      </c>
      <c r="D48" s="1856" t="s">
        <v>2460</v>
      </c>
      <c r="E48" s="1856" t="s">
        <v>2457</v>
      </c>
      <c r="F48" s="1856" t="s">
        <v>2338</v>
      </c>
      <c r="G48" s="1856" t="s">
        <v>2458</v>
      </c>
      <c r="H48" s="1856" t="s">
        <v>28</v>
      </c>
      <c r="I48" s="1856" t="s">
        <v>844</v>
      </c>
    </row>
    <row customHeight="1" ht="11.25">
      <c r="A49" s="1856" t="s">
        <v>2288</v>
      </c>
      <c r="B49" s="1856" t="s">
        <v>16</v>
      </c>
      <c r="C49" s="1856" t="s">
        <v>2461</v>
      </c>
      <c r="D49" s="1856" t="s">
        <v>2462</v>
      </c>
      <c r="E49" s="1856" t="s">
        <v>2457</v>
      </c>
      <c r="F49" s="1856" t="s">
        <v>2385</v>
      </c>
      <c r="G49" s="1856" t="s">
        <v>2458</v>
      </c>
      <c r="H49" s="1856" t="s">
        <v>28</v>
      </c>
      <c r="I49" s="1856" t="s">
        <v>844</v>
      </c>
    </row>
    <row customHeight="1" ht="11.25">
      <c r="A50" s="1856" t="s">
        <v>2288</v>
      </c>
      <c r="B50" s="1856" t="s">
        <v>16</v>
      </c>
      <c r="C50" s="1856" t="s">
        <v>2463</v>
      </c>
      <c r="D50" s="1856" t="s">
        <v>2464</v>
      </c>
      <c r="E50" s="1856" t="s">
        <v>2457</v>
      </c>
      <c r="F50" s="1856" t="s">
        <v>2465</v>
      </c>
      <c r="G50" s="1856" t="s">
        <v>2458</v>
      </c>
      <c r="H50" s="1856" t="s">
        <v>28</v>
      </c>
      <c r="I50" s="1856" t="s">
        <v>844</v>
      </c>
    </row>
    <row customHeight="1" ht="11.25">
      <c r="A51" s="1856" t="s">
        <v>2288</v>
      </c>
      <c r="B51" s="1856" t="s">
        <v>16</v>
      </c>
      <c r="C51" s="1856" t="s">
        <v>2466</v>
      </c>
      <c r="D51" s="1856" t="s">
        <v>2467</v>
      </c>
      <c r="E51" s="1856" t="s">
        <v>2457</v>
      </c>
      <c r="F51" s="1856" t="s">
        <v>2468</v>
      </c>
      <c r="G51" s="1856" t="s">
        <v>2458</v>
      </c>
      <c r="H51" s="1856" t="s">
        <v>28</v>
      </c>
      <c r="I51" s="1856" t="s">
        <v>844</v>
      </c>
    </row>
    <row customHeight="1" ht="11.25">
      <c r="A52" s="1856" t="s">
        <v>2288</v>
      </c>
      <c r="B52" s="1856" t="s">
        <v>16</v>
      </c>
      <c r="C52" s="1856" t="s">
        <v>2469</v>
      </c>
      <c r="D52" s="1856" t="s">
        <v>2470</v>
      </c>
      <c r="E52" s="1856" t="s">
        <v>2457</v>
      </c>
      <c r="F52" s="1856" t="s">
        <v>2471</v>
      </c>
      <c r="G52" s="1856" t="s">
        <v>2458</v>
      </c>
      <c r="H52" s="1856" t="s">
        <v>28</v>
      </c>
      <c r="I52" s="1856" t="s">
        <v>844</v>
      </c>
    </row>
    <row customHeight="1" ht="11.25">
      <c r="A53" s="1856" t="s">
        <v>2288</v>
      </c>
      <c r="B53" s="1856" t="s">
        <v>16</v>
      </c>
      <c r="C53" s="1856" t="s">
        <v>2472</v>
      </c>
      <c r="D53" s="1856" t="s">
        <v>2473</v>
      </c>
      <c r="E53" s="1856" t="s">
        <v>2457</v>
      </c>
      <c r="F53" s="1856" t="s">
        <v>2474</v>
      </c>
      <c r="G53" s="1856" t="s">
        <v>2458</v>
      </c>
      <c r="H53" s="1856" t="s">
        <v>28</v>
      </c>
      <c r="I53" s="1856" t="s">
        <v>844</v>
      </c>
    </row>
    <row customHeight="1" ht="11.25">
      <c r="A54" s="1856" t="s">
        <v>2288</v>
      </c>
      <c r="B54" s="1856" t="s">
        <v>16</v>
      </c>
      <c r="C54" s="1856" t="s">
        <v>2475</v>
      </c>
      <c r="D54" s="1856" t="s">
        <v>2476</v>
      </c>
      <c r="E54" s="1856" t="s">
        <v>2457</v>
      </c>
      <c r="F54" s="1856" t="s">
        <v>2477</v>
      </c>
      <c r="G54" s="1856" t="s">
        <v>2458</v>
      </c>
      <c r="H54" s="1856" t="s">
        <v>28</v>
      </c>
      <c r="I54" s="1856" t="s">
        <v>844</v>
      </c>
    </row>
    <row customHeight="1" ht="11.25">
      <c r="A55" s="1856" t="s">
        <v>2288</v>
      </c>
      <c r="B55" s="1856" t="s">
        <v>16</v>
      </c>
      <c r="C55" s="1856" t="s">
        <v>2478</v>
      </c>
      <c r="D55" s="1856" t="s">
        <v>2479</v>
      </c>
      <c r="E55" s="1856" t="s">
        <v>2457</v>
      </c>
      <c r="F55" s="1856" t="s">
        <v>2480</v>
      </c>
      <c r="G55" s="1856" t="s">
        <v>2458</v>
      </c>
      <c r="H55" s="1856" t="s">
        <v>28</v>
      </c>
      <c r="I55" s="1856" t="s">
        <v>844</v>
      </c>
    </row>
    <row customHeight="1" ht="11.25">
      <c r="A56" s="1856" t="s">
        <v>2288</v>
      </c>
      <c r="B56" s="1856" t="s">
        <v>16</v>
      </c>
      <c r="C56" s="1856" t="s">
        <v>2481</v>
      </c>
      <c r="D56" s="1856" t="s">
        <v>2482</v>
      </c>
      <c r="E56" s="1856" t="s">
        <v>2457</v>
      </c>
      <c r="F56" s="1856" t="s">
        <v>2483</v>
      </c>
      <c r="G56" s="1856" t="s">
        <v>2458</v>
      </c>
      <c r="H56" s="1856" t="s">
        <v>28</v>
      </c>
      <c r="I56" s="1856" t="s">
        <v>844</v>
      </c>
    </row>
    <row customHeight="1" ht="11.25">
      <c r="A57" s="1856" t="s">
        <v>2288</v>
      </c>
      <c r="B57" s="1856" t="s">
        <v>16</v>
      </c>
      <c r="C57" s="1856" t="s">
        <v>2484</v>
      </c>
      <c r="D57" s="1856" t="s">
        <v>2485</v>
      </c>
      <c r="E57" s="1856" t="s">
        <v>2457</v>
      </c>
      <c r="F57" s="1856" t="s">
        <v>2486</v>
      </c>
      <c r="G57" s="1856" t="s">
        <v>2458</v>
      </c>
      <c r="H57" s="1856" t="s">
        <v>28</v>
      </c>
      <c r="I57" s="1856" t="s">
        <v>844</v>
      </c>
    </row>
    <row customHeight="1" ht="11.25">
      <c r="A58" s="1856" t="s">
        <v>2288</v>
      </c>
      <c r="B58" s="1856" t="s">
        <v>16</v>
      </c>
      <c r="C58" s="1856" t="s">
        <v>2487</v>
      </c>
      <c r="D58" s="1856" t="s">
        <v>2488</v>
      </c>
      <c r="E58" s="1856" t="s">
        <v>2457</v>
      </c>
      <c r="F58" s="1856" t="s">
        <v>2342</v>
      </c>
      <c r="G58" s="1856" t="s">
        <v>2458</v>
      </c>
      <c r="H58" s="1856" t="s">
        <v>28</v>
      </c>
      <c r="I58" s="1856" t="s">
        <v>844</v>
      </c>
    </row>
    <row customHeight="1" ht="11.25">
      <c r="A59" s="1856" t="s">
        <v>2288</v>
      </c>
      <c r="B59" s="1856" t="s">
        <v>16</v>
      </c>
      <c r="C59" s="1856" t="s">
        <v>2489</v>
      </c>
      <c r="D59" s="1856" t="s">
        <v>2490</v>
      </c>
      <c r="E59" s="1856" t="s">
        <v>2457</v>
      </c>
      <c r="F59" s="1856" t="s">
        <v>2491</v>
      </c>
      <c r="G59" s="1856" t="s">
        <v>2458</v>
      </c>
      <c r="H59" s="1856" t="s">
        <v>28</v>
      </c>
      <c r="I59" s="1856" t="s">
        <v>844</v>
      </c>
    </row>
    <row customHeight="1" ht="11.25">
      <c r="A60" s="1856" t="s">
        <v>2288</v>
      </c>
      <c r="B60" s="1856" t="s">
        <v>16</v>
      </c>
      <c r="C60" s="1856" t="s">
        <v>2492</v>
      </c>
      <c r="D60" s="1856" t="s">
        <v>2493</v>
      </c>
      <c r="E60" s="1856" t="s">
        <v>2457</v>
      </c>
      <c r="F60" s="1856" t="s">
        <v>2494</v>
      </c>
      <c r="G60" s="1856" t="s">
        <v>2458</v>
      </c>
      <c r="H60" s="1856" t="s">
        <v>28</v>
      </c>
      <c r="I60" s="1856" t="s">
        <v>844</v>
      </c>
    </row>
    <row customHeight="1" ht="11.25">
      <c r="A61" s="1856" t="s">
        <v>2288</v>
      </c>
      <c r="B61" s="1856" t="s">
        <v>16</v>
      </c>
      <c r="C61" s="1856" t="s">
        <v>2495</v>
      </c>
      <c r="D61" s="1856" t="s">
        <v>2496</v>
      </c>
      <c r="E61" s="1856" t="s">
        <v>2457</v>
      </c>
      <c r="F61" s="1856" t="s">
        <v>2497</v>
      </c>
      <c r="G61" s="1856" t="s">
        <v>2458</v>
      </c>
      <c r="H61" s="1856" t="s">
        <v>28</v>
      </c>
      <c r="I61" s="1856" t="s">
        <v>844</v>
      </c>
    </row>
    <row customHeight="1" ht="11.25">
      <c r="A62" s="1856" t="s">
        <v>2288</v>
      </c>
      <c r="B62" s="1856" t="s">
        <v>16</v>
      </c>
      <c r="C62" s="1856" t="s">
        <v>2498</v>
      </c>
      <c r="D62" s="1856" t="s">
        <v>2499</v>
      </c>
      <c r="E62" s="1856" t="s">
        <v>2457</v>
      </c>
      <c r="F62" s="1856" t="s">
        <v>2373</v>
      </c>
      <c r="G62" s="1856" t="s">
        <v>2458</v>
      </c>
      <c r="H62" s="1856" t="s">
        <v>28</v>
      </c>
      <c r="I62" s="1856" t="s">
        <v>844</v>
      </c>
    </row>
    <row customHeight="1" ht="11.25">
      <c r="A63" s="1856" t="s">
        <v>2288</v>
      </c>
      <c r="B63" s="1856" t="s">
        <v>16</v>
      </c>
      <c r="C63" s="1856" t="s">
        <v>2500</v>
      </c>
      <c r="D63" s="1856" t="s">
        <v>2501</v>
      </c>
      <c r="E63" s="1856" t="s">
        <v>2457</v>
      </c>
      <c r="F63" s="1856" t="s">
        <v>2502</v>
      </c>
      <c r="G63" s="1856" t="s">
        <v>2458</v>
      </c>
      <c r="H63" s="1856" t="s">
        <v>28</v>
      </c>
      <c r="I63" s="1856" t="s">
        <v>844</v>
      </c>
    </row>
    <row customHeight="1" ht="11.25">
      <c r="A64" s="1856" t="s">
        <v>2288</v>
      </c>
      <c r="B64" s="1856" t="s">
        <v>16</v>
      </c>
      <c r="C64" s="1856" t="s">
        <v>2503</v>
      </c>
      <c r="D64" s="1856" t="s">
        <v>2504</v>
      </c>
      <c r="E64" s="1856" t="s">
        <v>2457</v>
      </c>
      <c r="F64" s="1856" t="s">
        <v>2348</v>
      </c>
      <c r="G64" s="1856" t="s">
        <v>2458</v>
      </c>
      <c r="H64" s="1856" t="s">
        <v>28</v>
      </c>
      <c r="I64" s="1856" t="s">
        <v>844</v>
      </c>
    </row>
    <row customHeight="1" ht="11.25">
      <c r="A65" s="1856" t="s">
        <v>2288</v>
      </c>
      <c r="B65" s="1856" t="s">
        <v>16</v>
      </c>
      <c r="C65" s="1856" t="s">
        <v>2505</v>
      </c>
      <c r="D65" s="1856" t="s">
        <v>2506</v>
      </c>
      <c r="E65" s="1856" t="s">
        <v>2457</v>
      </c>
      <c r="F65" s="1856" t="s">
        <v>2507</v>
      </c>
      <c r="G65" s="1856" t="s">
        <v>2458</v>
      </c>
      <c r="H65" s="1856" t="s">
        <v>28</v>
      </c>
      <c r="I65" s="1856" t="s">
        <v>844</v>
      </c>
    </row>
    <row customHeight="1" ht="11.25">
      <c r="A66" s="1856" t="s">
        <v>2288</v>
      </c>
      <c r="B66" s="1856" t="s">
        <v>16</v>
      </c>
      <c r="C66" s="1856" t="s">
        <v>2508</v>
      </c>
      <c r="D66" s="1856" t="s">
        <v>2509</v>
      </c>
      <c r="E66" s="1856" t="s">
        <v>2457</v>
      </c>
      <c r="F66" s="1856" t="s">
        <v>2382</v>
      </c>
      <c r="G66" s="1856" t="s">
        <v>2458</v>
      </c>
      <c r="H66" s="1856" t="s">
        <v>28</v>
      </c>
      <c r="I66" s="1856" t="s">
        <v>844</v>
      </c>
    </row>
    <row customHeight="1" ht="11.25">
      <c r="A67" s="1856" t="s">
        <v>2288</v>
      </c>
      <c r="B67" s="1856" t="s">
        <v>16</v>
      </c>
      <c r="C67" s="1856" t="s">
        <v>2510</v>
      </c>
      <c r="D67" s="1856" t="s">
        <v>2511</v>
      </c>
      <c r="E67" s="1856" t="s">
        <v>2457</v>
      </c>
      <c r="F67" s="1856" t="s">
        <v>2512</v>
      </c>
      <c r="G67" s="1856" t="s">
        <v>2458</v>
      </c>
      <c r="H67" s="1856" t="s">
        <v>28</v>
      </c>
      <c r="I67" s="1856" t="s">
        <v>844</v>
      </c>
    </row>
    <row customHeight="1" ht="11.25">
      <c r="A68" s="1856" t="s">
        <v>2288</v>
      </c>
      <c r="B68" s="1856" t="s">
        <v>16</v>
      </c>
      <c r="C68" s="1856" t="s">
        <v>2513</v>
      </c>
      <c r="D68" s="1856" t="s">
        <v>2514</v>
      </c>
      <c r="E68" s="1856" t="s">
        <v>2457</v>
      </c>
      <c r="F68" s="1856" t="s">
        <v>2515</v>
      </c>
      <c r="G68" s="1856" t="s">
        <v>2458</v>
      </c>
      <c r="H68" s="1856" t="s">
        <v>28</v>
      </c>
      <c r="I68" s="1856" t="s">
        <v>844</v>
      </c>
    </row>
    <row customHeight="1" ht="11.25">
      <c r="A69" s="1856" t="s">
        <v>2288</v>
      </c>
      <c r="B69" s="1856" t="s">
        <v>16</v>
      </c>
      <c r="C69" s="1856" t="s">
        <v>2516</v>
      </c>
      <c r="D69" s="1856" t="s">
        <v>2517</v>
      </c>
      <c r="E69" s="1856" t="s">
        <v>2457</v>
      </c>
      <c r="F69" s="1856" t="s">
        <v>2518</v>
      </c>
      <c r="G69" s="1856" t="s">
        <v>2458</v>
      </c>
      <c r="H69" s="1856" t="s">
        <v>28</v>
      </c>
      <c r="I69" s="1856" t="s">
        <v>844</v>
      </c>
    </row>
    <row customHeight="1" ht="11.25">
      <c r="A70" s="1856" t="s">
        <v>2288</v>
      </c>
      <c r="B70" s="1856" t="s">
        <v>16</v>
      </c>
      <c r="C70" s="1856" t="s">
        <v>2519</v>
      </c>
      <c r="D70" s="1856" t="s">
        <v>2520</v>
      </c>
      <c r="E70" s="1856" t="s">
        <v>2457</v>
      </c>
      <c r="F70" s="1856" t="s">
        <v>2521</v>
      </c>
      <c r="G70" s="1856" t="s">
        <v>2458</v>
      </c>
      <c r="H70" s="1856" t="s">
        <v>28</v>
      </c>
      <c r="I70" s="1856" t="s">
        <v>844</v>
      </c>
    </row>
    <row customHeight="1" ht="11.25">
      <c r="A71" s="1856" t="s">
        <v>2288</v>
      </c>
      <c r="B71" s="1856" t="s">
        <v>16</v>
      </c>
      <c r="C71" s="1856" t="s">
        <v>2522</v>
      </c>
      <c r="D71" s="1856" t="s">
        <v>2523</v>
      </c>
      <c r="E71" s="1856" t="s">
        <v>2457</v>
      </c>
      <c r="F71" s="1856" t="s">
        <v>2524</v>
      </c>
      <c r="G71" s="1856" t="s">
        <v>2458</v>
      </c>
      <c r="H71" s="1856" t="s">
        <v>28</v>
      </c>
      <c r="I71" s="1856" t="s">
        <v>844</v>
      </c>
    </row>
    <row customHeight="1" ht="11.25">
      <c r="A72" s="1856" t="s">
        <v>2288</v>
      </c>
      <c r="B72" s="1856" t="s">
        <v>16</v>
      </c>
      <c r="C72" s="1856" t="s">
        <v>2525</v>
      </c>
      <c r="D72" s="1856" t="s">
        <v>2526</v>
      </c>
      <c r="E72" s="1856" t="s">
        <v>2457</v>
      </c>
      <c r="F72" s="1856" t="s">
        <v>2527</v>
      </c>
      <c r="G72" s="1856" t="s">
        <v>2458</v>
      </c>
      <c r="H72" s="1856" t="s">
        <v>28</v>
      </c>
      <c r="I72" s="1856" t="s">
        <v>844</v>
      </c>
    </row>
    <row customHeight="1" ht="11.25">
      <c r="A73" s="1856" t="s">
        <v>2288</v>
      </c>
      <c r="B73" s="1856" t="s">
        <v>16</v>
      </c>
      <c r="C73" s="1856" t="s">
        <v>2528</v>
      </c>
      <c r="D73" s="1856" t="s">
        <v>2529</v>
      </c>
      <c r="E73" s="1856" t="s">
        <v>2457</v>
      </c>
      <c r="F73" s="1856" t="s">
        <v>2530</v>
      </c>
      <c r="G73" s="1856" t="s">
        <v>2458</v>
      </c>
      <c r="H73" s="1856" t="s">
        <v>28</v>
      </c>
      <c r="I73" s="1856" t="s">
        <v>844</v>
      </c>
    </row>
    <row customHeight="1" ht="11.25">
      <c r="A74" s="1856" t="s">
        <v>2288</v>
      </c>
      <c r="B74" s="1856" t="s">
        <v>16</v>
      </c>
      <c r="C74" s="1856" t="s">
        <v>2531</v>
      </c>
      <c r="D74" s="1856" t="s">
        <v>2532</v>
      </c>
      <c r="E74" s="1856" t="s">
        <v>2457</v>
      </c>
      <c r="F74" s="1856" t="s">
        <v>2533</v>
      </c>
      <c r="G74" s="1856" t="s">
        <v>2458</v>
      </c>
      <c r="H74" s="1856" t="s">
        <v>28</v>
      </c>
      <c r="I74" s="1856" t="s">
        <v>844</v>
      </c>
    </row>
    <row customHeight="1" ht="11.25">
      <c r="A75" s="1856" t="s">
        <v>2288</v>
      </c>
      <c r="B75" s="1856" t="s">
        <v>16</v>
      </c>
      <c r="C75" s="1856" t="s">
        <v>2534</v>
      </c>
      <c r="D75" s="1856" t="s">
        <v>2535</v>
      </c>
      <c r="E75" s="1856" t="s">
        <v>2536</v>
      </c>
      <c r="F75" s="1856" t="s">
        <v>2537</v>
      </c>
      <c r="G75" s="1856" t="s">
        <v>28</v>
      </c>
      <c r="H75" s="1856" t="s">
        <v>28</v>
      </c>
      <c r="I75" s="1856" t="s">
        <v>844</v>
      </c>
    </row>
    <row customHeight="1" ht="11.25">
      <c r="A76" s="1856" t="s">
        <v>2288</v>
      </c>
      <c r="B76" s="1856" t="s">
        <v>16</v>
      </c>
      <c r="C76" s="1856" t="s">
        <v>2538</v>
      </c>
      <c r="D76" s="1856" t="s">
        <v>2539</v>
      </c>
      <c r="E76" s="1856" t="s">
        <v>2536</v>
      </c>
      <c r="F76" s="1856" t="s">
        <v>2540</v>
      </c>
      <c r="G76" s="1856" t="s">
        <v>28</v>
      </c>
      <c r="H76" s="1856" t="s">
        <v>28</v>
      </c>
      <c r="I76" s="1856" t="s">
        <v>844</v>
      </c>
    </row>
    <row customHeight="1" ht="11.25">
      <c r="A77" s="1856" t="s">
        <v>2288</v>
      </c>
      <c r="B77" s="1856" t="s">
        <v>16</v>
      </c>
      <c r="C77" s="1856" t="s">
        <v>2541</v>
      </c>
      <c r="D77" s="1856" t="s">
        <v>2542</v>
      </c>
      <c r="E77" s="1856" t="s">
        <v>2543</v>
      </c>
      <c r="F77" s="1856" t="s">
        <v>2300</v>
      </c>
      <c r="G77" s="1856" t="s">
        <v>2544</v>
      </c>
      <c r="H77" s="1856" t="s">
        <v>28</v>
      </c>
      <c r="I77" s="1856" t="s">
        <v>844</v>
      </c>
    </row>
    <row customHeight="1" ht="11.25">
      <c r="A78" s="1856" t="s">
        <v>2288</v>
      </c>
      <c r="B78" s="1856" t="s">
        <v>16</v>
      </c>
      <c r="C78" s="1856" t="s">
        <v>2545</v>
      </c>
      <c r="D78" s="1856" t="s">
        <v>2546</v>
      </c>
      <c r="E78" s="1856" t="s">
        <v>2547</v>
      </c>
      <c r="F78" s="1856" t="s">
        <v>2548</v>
      </c>
      <c r="G78" s="1856" t="s">
        <v>28</v>
      </c>
      <c r="H78" s="1856" t="s">
        <v>28</v>
      </c>
      <c r="I78" s="1856" t="s">
        <v>844</v>
      </c>
    </row>
    <row customHeight="1" ht="11.25">
      <c r="A79" s="1856" t="s">
        <v>2288</v>
      </c>
      <c r="B79" s="1856" t="s">
        <v>16</v>
      </c>
      <c r="C79" s="1856" t="s">
        <v>2549</v>
      </c>
      <c r="D79" s="1856" t="s">
        <v>2550</v>
      </c>
      <c r="E79" s="1856" t="s">
        <v>2551</v>
      </c>
      <c r="F79" s="1856" t="s">
        <v>612</v>
      </c>
      <c r="G79" s="1856" t="s">
        <v>2552</v>
      </c>
      <c r="H79" s="1856" t="s">
        <v>28</v>
      </c>
      <c r="I79" s="1856" t="s">
        <v>844</v>
      </c>
    </row>
    <row customHeight="1" ht="11.25">
      <c r="A80" s="1856" t="s">
        <v>2288</v>
      </c>
      <c r="B80" s="1856" t="s">
        <v>16</v>
      </c>
      <c r="C80" s="1856" t="s">
        <v>2553</v>
      </c>
      <c r="D80" s="1856" t="s">
        <v>2554</v>
      </c>
      <c r="E80" s="1856" t="s">
        <v>2555</v>
      </c>
      <c r="F80" s="1856" t="s">
        <v>612</v>
      </c>
      <c r="G80" s="1856" t="s">
        <v>2556</v>
      </c>
      <c r="H80" s="1856" t="s">
        <v>28</v>
      </c>
      <c r="I80" s="1856" t="s">
        <v>844</v>
      </c>
    </row>
    <row customHeight="1" ht="11.25">
      <c r="A81" s="1856" t="s">
        <v>2288</v>
      </c>
      <c r="B81" s="1856" t="s">
        <v>16</v>
      </c>
      <c r="C81" s="1856" t="s">
        <v>2557</v>
      </c>
      <c r="D81" s="1856" t="s">
        <v>2558</v>
      </c>
      <c r="E81" s="1856" t="s">
        <v>2559</v>
      </c>
      <c r="F81" s="1856" t="s">
        <v>612</v>
      </c>
      <c r="G81" s="1856" t="s">
        <v>2560</v>
      </c>
      <c r="H81" s="1856" t="s">
        <v>28</v>
      </c>
      <c r="I81" s="1856" t="s">
        <v>844</v>
      </c>
    </row>
    <row customHeight="1" ht="11.25">
      <c r="A82" s="1856" t="s">
        <v>2288</v>
      </c>
      <c r="B82" s="1856" t="s">
        <v>16</v>
      </c>
      <c r="C82" s="1856" t="s">
        <v>2561</v>
      </c>
      <c r="D82" s="1856" t="s">
        <v>2562</v>
      </c>
      <c r="E82" s="1856" t="s">
        <v>2563</v>
      </c>
      <c r="F82" s="1856" t="s">
        <v>612</v>
      </c>
      <c r="G82" s="1856" t="s">
        <v>2564</v>
      </c>
      <c r="H82" s="1856" t="s">
        <v>28</v>
      </c>
      <c r="I82" s="1856" t="s">
        <v>844</v>
      </c>
    </row>
    <row customHeight="1" ht="11.25">
      <c r="A83" s="1856" t="s">
        <v>2288</v>
      </c>
      <c r="B83" s="1856" t="s">
        <v>16</v>
      </c>
      <c r="C83" s="1856" t="s">
        <v>2565</v>
      </c>
      <c r="D83" s="1856" t="s">
        <v>2566</v>
      </c>
      <c r="E83" s="1856" t="s">
        <v>2567</v>
      </c>
      <c r="F83" s="1856" t="s">
        <v>612</v>
      </c>
      <c r="G83" s="1856" t="s">
        <v>2568</v>
      </c>
      <c r="H83" s="1856" t="s">
        <v>28</v>
      </c>
      <c r="I83" s="1856" t="s">
        <v>844</v>
      </c>
    </row>
    <row customHeight="1" ht="11.25">
      <c r="A84" s="1856" t="s">
        <v>2288</v>
      </c>
      <c r="B84" s="1856" t="s">
        <v>16</v>
      </c>
      <c r="C84" s="1856" t="s">
        <v>2569</v>
      </c>
      <c r="D84" s="1856" t="s">
        <v>2570</v>
      </c>
      <c r="E84" s="1856" t="s">
        <v>2571</v>
      </c>
      <c r="F84" s="1856" t="s">
        <v>612</v>
      </c>
      <c r="G84" s="1856" t="s">
        <v>2572</v>
      </c>
      <c r="H84" s="1856" t="s">
        <v>28</v>
      </c>
      <c r="I84" s="1856" t="s">
        <v>844</v>
      </c>
    </row>
    <row customHeight="1" ht="11.25">
      <c r="A85" s="1856" t="s">
        <v>2288</v>
      </c>
      <c r="B85" s="1856" t="s">
        <v>16</v>
      </c>
      <c r="C85" s="1856" t="s">
        <v>2573</v>
      </c>
      <c r="D85" s="1856" t="s">
        <v>2574</v>
      </c>
      <c r="E85" s="1856" t="s">
        <v>2575</v>
      </c>
      <c r="F85" s="1856" t="s">
        <v>612</v>
      </c>
      <c r="G85" s="1856" t="s">
        <v>2576</v>
      </c>
      <c r="H85" s="1856" t="s">
        <v>28</v>
      </c>
      <c r="I85" s="1856" t="s">
        <v>844</v>
      </c>
    </row>
    <row customHeight="1" ht="11.25">
      <c r="A86" s="1856" t="s">
        <v>2288</v>
      </c>
      <c r="B86" s="1856" t="s">
        <v>16</v>
      </c>
      <c r="C86" s="1856" t="s">
        <v>2577</v>
      </c>
      <c r="D86" s="1856" t="s">
        <v>2578</v>
      </c>
      <c r="E86" s="1856" t="s">
        <v>2579</v>
      </c>
      <c r="F86" s="1856" t="s">
        <v>612</v>
      </c>
      <c r="G86" s="1856" t="s">
        <v>2576</v>
      </c>
      <c r="H86" s="1856" t="s">
        <v>28</v>
      </c>
      <c r="I86" s="1856" t="s">
        <v>844</v>
      </c>
    </row>
    <row customHeight="1" ht="11.25">
      <c r="A87" s="1856" t="s">
        <v>2288</v>
      </c>
      <c r="B87" s="1856" t="s">
        <v>16</v>
      </c>
      <c r="C87" s="1856" t="s">
        <v>2580</v>
      </c>
      <c r="D87" s="1856" t="s">
        <v>2581</v>
      </c>
      <c r="E87" s="1856" t="s">
        <v>2582</v>
      </c>
      <c r="F87" s="1856" t="s">
        <v>612</v>
      </c>
      <c r="G87" s="1856" t="s">
        <v>2583</v>
      </c>
      <c r="H87" s="1856" t="s">
        <v>28</v>
      </c>
      <c r="I87" s="1856" t="s">
        <v>844</v>
      </c>
    </row>
    <row customHeight="1" ht="11.25">
      <c r="A88" s="1856" t="s">
        <v>2288</v>
      </c>
      <c r="B88" s="1856" t="s">
        <v>16</v>
      </c>
      <c r="C88" s="1856" t="s">
        <v>2584</v>
      </c>
      <c r="D88" s="1856" t="s">
        <v>2585</v>
      </c>
      <c r="E88" s="1856" t="s">
        <v>2586</v>
      </c>
      <c r="F88" s="1856" t="s">
        <v>612</v>
      </c>
      <c r="G88" s="1856" t="s">
        <v>2587</v>
      </c>
      <c r="H88" s="1856" t="s">
        <v>28</v>
      </c>
      <c r="I88" s="1856" t="s">
        <v>844</v>
      </c>
    </row>
    <row customHeight="1" ht="11.25">
      <c r="A89" s="1856" t="s">
        <v>2288</v>
      </c>
      <c r="B89" s="1856" t="s">
        <v>16</v>
      </c>
      <c r="C89" s="1856" t="s">
        <v>2588</v>
      </c>
      <c r="D89" s="1856" t="s">
        <v>2589</v>
      </c>
      <c r="E89" s="1856" t="s">
        <v>2590</v>
      </c>
      <c r="F89" s="1856" t="s">
        <v>612</v>
      </c>
      <c r="G89" s="1856" t="s">
        <v>2591</v>
      </c>
      <c r="H89" s="1856" t="s">
        <v>28</v>
      </c>
      <c r="I89" s="1856" t="s">
        <v>844</v>
      </c>
    </row>
    <row customHeight="1" ht="11.25">
      <c r="A90" s="1856" t="s">
        <v>2288</v>
      </c>
      <c r="B90" s="1856" t="s">
        <v>16</v>
      </c>
      <c r="C90" s="1856" t="s">
        <v>2592</v>
      </c>
      <c r="D90" s="1856" t="s">
        <v>2593</v>
      </c>
      <c r="E90" s="1856" t="s">
        <v>2594</v>
      </c>
      <c r="F90" s="1856" t="s">
        <v>612</v>
      </c>
      <c r="G90" s="1856" t="s">
        <v>2595</v>
      </c>
      <c r="H90" s="1856" t="s">
        <v>28</v>
      </c>
      <c r="I90" s="1856" t="s">
        <v>844</v>
      </c>
    </row>
    <row customHeight="1" ht="11.25">
      <c r="A91" s="1856" t="s">
        <v>2288</v>
      </c>
      <c r="B91" s="1856" t="s">
        <v>16</v>
      </c>
      <c r="C91" s="1856" t="s">
        <v>2596</v>
      </c>
      <c r="D91" s="1856" t="s">
        <v>2597</v>
      </c>
      <c r="E91" s="1856" t="s">
        <v>2598</v>
      </c>
      <c r="F91" s="1856" t="s">
        <v>612</v>
      </c>
      <c r="G91" s="1856" t="s">
        <v>28</v>
      </c>
      <c r="H91" s="1856" t="s">
        <v>28</v>
      </c>
      <c r="I91" s="1856" t="s">
        <v>844</v>
      </c>
    </row>
    <row customHeight="1" ht="11.25">
      <c r="A92" s="1856" t="s">
        <v>2288</v>
      </c>
      <c r="B92" s="1856" t="s">
        <v>16</v>
      </c>
      <c r="C92" s="1856" t="s">
        <v>2599</v>
      </c>
      <c r="D92" s="1856" t="s">
        <v>2600</v>
      </c>
      <c r="E92" s="1856" t="s">
        <v>2601</v>
      </c>
      <c r="F92" s="1856" t="s">
        <v>612</v>
      </c>
      <c r="G92" s="1856" t="s">
        <v>2576</v>
      </c>
      <c r="H92" s="1856" t="s">
        <v>28</v>
      </c>
      <c r="I92" s="1856" t="s">
        <v>844</v>
      </c>
    </row>
    <row customHeight="1" ht="11.25">
      <c r="A93" s="1856" t="s">
        <v>2288</v>
      </c>
      <c r="B93" s="1856" t="s">
        <v>16</v>
      </c>
      <c r="C93" s="1856" t="s">
        <v>2602</v>
      </c>
      <c r="D93" s="1856" t="s">
        <v>2603</v>
      </c>
      <c r="E93" s="1856" t="s">
        <v>2604</v>
      </c>
      <c r="F93" s="1856" t="s">
        <v>612</v>
      </c>
      <c r="G93" s="1856" t="s">
        <v>2605</v>
      </c>
      <c r="H93" s="1856" t="s">
        <v>28</v>
      </c>
      <c r="I93" s="1856" t="s">
        <v>844</v>
      </c>
    </row>
    <row customHeight="1" ht="11.25">
      <c r="A94" s="1856" t="s">
        <v>2288</v>
      </c>
      <c r="B94" s="1856" t="s">
        <v>16</v>
      </c>
      <c r="C94" s="1856" t="s">
        <v>2606</v>
      </c>
      <c r="D94" s="1856" t="s">
        <v>2607</v>
      </c>
      <c r="E94" s="1856" t="s">
        <v>2608</v>
      </c>
      <c r="F94" s="1856" t="s">
        <v>612</v>
      </c>
      <c r="G94" s="1856" t="s">
        <v>2609</v>
      </c>
      <c r="H94" s="1856" t="s">
        <v>28</v>
      </c>
      <c r="I94" s="1856" t="s">
        <v>844</v>
      </c>
    </row>
    <row customHeight="1" ht="11.25">
      <c r="A95" s="1856" t="s">
        <v>2288</v>
      </c>
      <c r="B95" s="1856" t="s">
        <v>16</v>
      </c>
      <c r="C95" s="1856" t="s">
        <v>2610</v>
      </c>
      <c r="D95" s="1856" t="s">
        <v>2611</v>
      </c>
      <c r="E95" s="1856" t="s">
        <v>2612</v>
      </c>
      <c r="F95" s="1856" t="s">
        <v>612</v>
      </c>
      <c r="G95" s="1856" t="s">
        <v>2613</v>
      </c>
      <c r="H95" s="1856" t="s">
        <v>28</v>
      </c>
      <c r="I95" s="1856" t="s">
        <v>844</v>
      </c>
    </row>
    <row customHeight="1" ht="11.25">
      <c r="A96" s="1856" t="s">
        <v>2288</v>
      </c>
      <c r="B96" s="1856" t="s">
        <v>16</v>
      </c>
      <c r="C96" s="1856" t="s">
        <v>2614</v>
      </c>
      <c r="D96" s="1856" t="s">
        <v>2615</v>
      </c>
      <c r="E96" s="1856" t="s">
        <v>2616</v>
      </c>
      <c r="F96" s="1856" t="s">
        <v>612</v>
      </c>
      <c r="G96" s="1856" t="s">
        <v>2617</v>
      </c>
      <c r="H96" s="1856" t="s">
        <v>28</v>
      </c>
      <c r="I96" s="1856" t="s">
        <v>844</v>
      </c>
    </row>
    <row customHeight="1" ht="11.25">
      <c r="A97" s="1856" t="s">
        <v>2288</v>
      </c>
      <c r="B97" s="1856" t="s">
        <v>16</v>
      </c>
      <c r="C97" s="1856" t="s">
        <v>2618</v>
      </c>
      <c r="D97" s="1856" t="s">
        <v>2619</v>
      </c>
      <c r="E97" s="1856" t="s">
        <v>2620</v>
      </c>
      <c r="F97" s="1856" t="s">
        <v>612</v>
      </c>
      <c r="G97" s="1856" t="s">
        <v>2576</v>
      </c>
      <c r="H97" s="1856" t="s">
        <v>28</v>
      </c>
      <c r="I97" s="1856" t="s">
        <v>844</v>
      </c>
    </row>
    <row customHeight="1" ht="11.25">
      <c r="A98" s="1856" t="s">
        <v>2288</v>
      </c>
      <c r="B98" s="1856" t="s">
        <v>16</v>
      </c>
      <c r="C98" s="1856" t="s">
        <v>2621</v>
      </c>
      <c r="D98" s="1856" t="s">
        <v>2622</v>
      </c>
      <c r="E98" s="1856" t="s">
        <v>2623</v>
      </c>
      <c r="F98" s="1856" t="s">
        <v>612</v>
      </c>
      <c r="G98" s="1856" t="s">
        <v>2624</v>
      </c>
      <c r="H98" s="1856" t="s">
        <v>28</v>
      </c>
      <c r="I98" s="1856" t="s">
        <v>844</v>
      </c>
    </row>
    <row customHeight="1" ht="11.25">
      <c r="A99" s="1856" t="s">
        <v>2288</v>
      </c>
      <c r="B99" s="1856" t="s">
        <v>16</v>
      </c>
      <c r="C99" s="1856" t="s">
        <v>2625</v>
      </c>
      <c r="D99" s="1856" t="s">
        <v>2626</v>
      </c>
      <c r="E99" s="1856" t="s">
        <v>2627</v>
      </c>
      <c r="F99" s="1856" t="s">
        <v>612</v>
      </c>
      <c r="G99" s="1856" t="s">
        <v>2628</v>
      </c>
      <c r="H99" s="1856" t="s">
        <v>28</v>
      </c>
      <c r="I99" s="1856" t="s">
        <v>844</v>
      </c>
    </row>
    <row customHeight="1" ht="11.25">
      <c r="A100" s="1856" t="s">
        <v>2288</v>
      </c>
      <c r="B100" s="1856" t="s">
        <v>16</v>
      </c>
      <c r="C100" s="1856" t="s">
        <v>2629</v>
      </c>
      <c r="D100" s="1856" t="s">
        <v>2630</v>
      </c>
      <c r="E100" s="1856" t="s">
        <v>2631</v>
      </c>
      <c r="F100" s="1856" t="s">
        <v>612</v>
      </c>
      <c r="G100" s="1856" t="s">
        <v>2632</v>
      </c>
      <c r="H100" s="1856" t="s">
        <v>28</v>
      </c>
      <c r="I100" s="1856" t="s">
        <v>844</v>
      </c>
    </row>
    <row customHeight="1" ht="11.25">
      <c r="A101" s="1856" t="s">
        <v>2288</v>
      </c>
      <c r="B101" s="1856" t="s">
        <v>16</v>
      </c>
      <c r="C101" s="1856" t="s">
        <v>2633</v>
      </c>
      <c r="D101" s="1856" t="s">
        <v>2634</v>
      </c>
      <c r="E101" s="1856" t="s">
        <v>2635</v>
      </c>
      <c r="F101" s="1856" t="s">
        <v>612</v>
      </c>
      <c r="G101" s="1856" t="s">
        <v>2636</v>
      </c>
      <c r="H101" s="1856" t="s">
        <v>28</v>
      </c>
      <c r="I101" s="1856" t="s">
        <v>844</v>
      </c>
    </row>
    <row customHeight="1" ht="11.25">
      <c r="A102" s="1856" t="s">
        <v>2288</v>
      </c>
      <c r="B102" s="1856" t="s">
        <v>16</v>
      </c>
      <c r="C102" s="1856" t="s">
        <v>2637</v>
      </c>
      <c r="D102" s="1856" t="s">
        <v>2638</v>
      </c>
      <c r="E102" s="1856" t="s">
        <v>2639</v>
      </c>
      <c r="F102" s="1856" t="s">
        <v>612</v>
      </c>
      <c r="G102" s="1856" t="s">
        <v>2576</v>
      </c>
      <c r="H102" s="1856" t="s">
        <v>28</v>
      </c>
      <c r="I102" s="1856" t="s">
        <v>844</v>
      </c>
    </row>
    <row customHeight="1" ht="11.25">
      <c r="A103" s="1856" t="s">
        <v>2288</v>
      </c>
      <c r="B103" s="1856" t="s">
        <v>16</v>
      </c>
      <c r="C103" s="1856" t="s">
        <v>2640</v>
      </c>
      <c r="D103" s="1856" t="s">
        <v>2641</v>
      </c>
      <c r="E103" s="1856" t="s">
        <v>2642</v>
      </c>
      <c r="F103" s="1856" t="s">
        <v>612</v>
      </c>
      <c r="G103" s="1856" t="s">
        <v>2643</v>
      </c>
      <c r="H103" s="1856" t="s">
        <v>28</v>
      </c>
      <c r="I103" s="1856" t="s">
        <v>844</v>
      </c>
    </row>
    <row customHeight="1" ht="11.25">
      <c r="A104" s="1856" t="s">
        <v>2288</v>
      </c>
      <c r="B104" s="1856" t="s">
        <v>16</v>
      </c>
      <c r="C104" s="1856" t="s">
        <v>2644</v>
      </c>
      <c r="D104" s="1856" t="s">
        <v>2645</v>
      </c>
      <c r="E104" s="1856" t="s">
        <v>2425</v>
      </c>
      <c r="F104" s="1856" t="s">
        <v>2646</v>
      </c>
      <c r="G104" s="1856" t="s">
        <v>2647</v>
      </c>
      <c r="H104" s="1856" t="s">
        <v>28</v>
      </c>
      <c r="I104" s="1856" t="s">
        <v>844</v>
      </c>
    </row>
    <row customHeight="1" ht="11.25">
      <c r="A105" s="1856" t="s">
        <v>2288</v>
      </c>
      <c r="B105" s="1856" t="s">
        <v>16</v>
      </c>
      <c r="C105" s="1856" t="s">
        <v>2648</v>
      </c>
      <c r="D105" s="1856" t="s">
        <v>2649</v>
      </c>
      <c r="E105" s="1856" t="s">
        <v>2650</v>
      </c>
      <c r="F105" s="1856" t="s">
        <v>2651</v>
      </c>
      <c r="G105" s="1856" t="s">
        <v>2652</v>
      </c>
      <c r="H105" s="1856" t="s">
        <v>28</v>
      </c>
      <c r="I105" s="1856" t="s">
        <v>844</v>
      </c>
    </row>
    <row customHeight="1" ht="11.25">
      <c r="A106" s="1856" t="s">
        <v>2288</v>
      </c>
      <c r="B106" s="1856" t="s">
        <v>16</v>
      </c>
      <c r="C106" s="1856" t="s">
        <v>2653</v>
      </c>
      <c r="D106" s="1856" t="s">
        <v>2654</v>
      </c>
      <c r="E106" s="1856" t="s">
        <v>2655</v>
      </c>
      <c r="F106" s="1856" t="s">
        <v>2656</v>
      </c>
      <c r="G106" s="1856" t="s">
        <v>2657</v>
      </c>
      <c r="H106" s="1856" t="s">
        <v>28</v>
      </c>
      <c r="I106" s="1856" t="s">
        <v>844</v>
      </c>
    </row>
    <row customHeight="1" ht="11.25">
      <c r="A107" s="1856" t="s">
        <v>2288</v>
      </c>
      <c r="B107" s="1856" t="s">
        <v>16</v>
      </c>
      <c r="C107" s="1856" t="s">
        <v>2658</v>
      </c>
      <c r="D107" s="1856" t="s">
        <v>2659</v>
      </c>
      <c r="E107" s="1856" t="s">
        <v>2660</v>
      </c>
      <c r="F107" s="1856" t="s">
        <v>2333</v>
      </c>
      <c r="G107" s="1856" t="s">
        <v>2661</v>
      </c>
      <c r="H107" s="1856" t="s">
        <v>28</v>
      </c>
      <c r="I107" s="1856" t="s">
        <v>844</v>
      </c>
    </row>
    <row customHeight="1" ht="11.25">
      <c r="A108" s="1856" t="s">
        <v>2288</v>
      </c>
      <c r="B108" s="1856" t="s">
        <v>16</v>
      </c>
      <c r="C108" s="1856" t="s">
        <v>2662</v>
      </c>
      <c r="D108" s="1856" t="s">
        <v>2663</v>
      </c>
      <c r="E108" s="1856" t="s">
        <v>2664</v>
      </c>
      <c r="F108" s="1856" t="s">
        <v>2665</v>
      </c>
      <c r="G108" s="1856" t="s">
        <v>2666</v>
      </c>
      <c r="H108" s="1856" t="s">
        <v>28</v>
      </c>
      <c r="I108" s="1856" t="s">
        <v>844</v>
      </c>
    </row>
    <row customHeight="1" ht="11.25">
      <c r="A109" s="1856" t="s">
        <v>2288</v>
      </c>
      <c r="B109" s="1856" t="s">
        <v>16</v>
      </c>
      <c r="C109" s="1856" t="s">
        <v>2667</v>
      </c>
      <c r="D109" s="1856" t="s">
        <v>2668</v>
      </c>
      <c r="E109" s="1856" t="s">
        <v>2669</v>
      </c>
      <c r="F109" s="1856" t="s">
        <v>2300</v>
      </c>
      <c r="G109" s="1856" t="s">
        <v>2670</v>
      </c>
      <c r="H109" s="1856" t="s">
        <v>28</v>
      </c>
      <c r="I109" s="1856" t="s">
        <v>844</v>
      </c>
    </row>
    <row customHeight="1" ht="11.25">
      <c r="A110" s="1856" t="s">
        <v>2288</v>
      </c>
      <c r="B110" s="1856" t="s">
        <v>16</v>
      </c>
      <c r="C110" s="1856" t="s">
        <v>2671</v>
      </c>
      <c r="D110" s="1856" t="s">
        <v>2672</v>
      </c>
      <c r="E110" s="1856" t="s">
        <v>2673</v>
      </c>
      <c r="F110" s="1856" t="s">
        <v>2674</v>
      </c>
      <c r="G110" s="1856" t="s">
        <v>2675</v>
      </c>
      <c r="H110" s="1856" t="s">
        <v>28</v>
      </c>
      <c r="I110" s="1856" t="s">
        <v>844</v>
      </c>
    </row>
    <row customHeight="1" ht="11.25">
      <c r="A111" s="1856" t="s">
        <v>2288</v>
      </c>
      <c r="B111" s="1856" t="s">
        <v>16</v>
      </c>
      <c r="C111" s="1856" t="s">
        <v>2676</v>
      </c>
      <c r="D111" s="1856" t="s">
        <v>2677</v>
      </c>
      <c r="E111" s="1856" t="s">
        <v>2678</v>
      </c>
      <c r="F111" s="1856" t="s">
        <v>2300</v>
      </c>
      <c r="G111" s="1856" t="s">
        <v>2679</v>
      </c>
      <c r="H111" s="1856" t="s">
        <v>28</v>
      </c>
      <c r="I111" s="1856" t="s">
        <v>844</v>
      </c>
    </row>
    <row customHeight="1" ht="11.25">
      <c r="A112" s="1856" t="s">
        <v>2288</v>
      </c>
      <c r="B112" s="1856" t="s">
        <v>16</v>
      </c>
      <c r="C112" s="1856" t="s">
        <v>2680</v>
      </c>
      <c r="D112" s="1856" t="s">
        <v>2681</v>
      </c>
      <c r="E112" s="1856" t="s">
        <v>2682</v>
      </c>
      <c r="F112" s="1856" t="s">
        <v>2300</v>
      </c>
      <c r="G112" s="1856" t="s">
        <v>2683</v>
      </c>
      <c r="H112" s="1856" t="s">
        <v>28</v>
      </c>
      <c r="I112" s="1856" t="s">
        <v>844</v>
      </c>
    </row>
    <row customHeight="1" ht="11.25">
      <c r="A113" s="1856" t="s">
        <v>2288</v>
      </c>
      <c r="B113" s="1856" t="s">
        <v>16</v>
      </c>
      <c r="C113" s="1856" t="s">
        <v>2684</v>
      </c>
      <c r="D113" s="1856" t="s">
        <v>2685</v>
      </c>
      <c r="E113" s="1856" t="s">
        <v>2686</v>
      </c>
      <c r="F113" s="1856" t="s">
        <v>2687</v>
      </c>
      <c r="G113" s="1856" t="s">
        <v>2688</v>
      </c>
      <c r="H113" s="1856" t="s">
        <v>28</v>
      </c>
      <c r="I113" s="1856" t="s">
        <v>844</v>
      </c>
    </row>
    <row customHeight="1" ht="11.25">
      <c r="A114" s="1856" t="s">
        <v>2288</v>
      </c>
      <c r="B114" s="1856" t="s">
        <v>16</v>
      </c>
      <c r="C114" s="1856" t="s">
        <v>2689</v>
      </c>
      <c r="D114" s="1856" t="s">
        <v>2690</v>
      </c>
      <c r="E114" s="1856" t="s">
        <v>2691</v>
      </c>
      <c r="F114" s="1856" t="s">
        <v>2692</v>
      </c>
      <c r="G114" s="1856" t="s">
        <v>2693</v>
      </c>
      <c r="H114" s="1856" t="s">
        <v>28</v>
      </c>
      <c r="I114" s="1856" t="s">
        <v>844</v>
      </c>
    </row>
    <row customHeight="1" ht="11.25">
      <c r="A115" s="1856" t="s">
        <v>2288</v>
      </c>
      <c r="B115" s="1856" t="s">
        <v>16</v>
      </c>
      <c r="C115" s="1856" t="s">
        <v>2694</v>
      </c>
      <c r="D115" s="1856" t="s">
        <v>2695</v>
      </c>
      <c r="E115" s="1856" t="s">
        <v>2696</v>
      </c>
      <c r="F115" s="1856" t="s">
        <v>2300</v>
      </c>
      <c r="G115" s="1856" t="s">
        <v>2697</v>
      </c>
      <c r="H115" s="1856" t="s">
        <v>28</v>
      </c>
      <c r="I115" s="1856" t="s">
        <v>844</v>
      </c>
    </row>
    <row customHeight="1" ht="11.25">
      <c r="A116" s="1856" t="s">
        <v>2288</v>
      </c>
      <c r="B116" s="1856" t="s">
        <v>16</v>
      </c>
      <c r="C116" s="1856" t="s">
        <v>2698</v>
      </c>
      <c r="D116" s="1856" t="s">
        <v>2699</v>
      </c>
      <c r="E116" s="1856" t="s">
        <v>2700</v>
      </c>
      <c r="F116" s="1856" t="s">
        <v>2701</v>
      </c>
      <c r="G116" s="1856" t="s">
        <v>2702</v>
      </c>
      <c r="H116" s="1856" t="s">
        <v>28</v>
      </c>
      <c r="I116" s="1856" t="s">
        <v>844</v>
      </c>
    </row>
    <row customHeight="1" ht="11.25">
      <c r="A117" s="1856" t="s">
        <v>2288</v>
      </c>
      <c r="B117" s="1856" t="s">
        <v>16</v>
      </c>
      <c r="C117" s="1856" t="s">
        <v>2703</v>
      </c>
      <c r="D117" s="1856" t="s">
        <v>2704</v>
      </c>
      <c r="E117" s="1856" t="s">
        <v>2705</v>
      </c>
      <c r="F117" s="1856" t="s">
        <v>2300</v>
      </c>
      <c r="G117" s="1856" t="s">
        <v>2706</v>
      </c>
      <c r="H117" s="1856" t="s">
        <v>28</v>
      </c>
      <c r="I117" s="1856" t="s">
        <v>844</v>
      </c>
    </row>
    <row customHeight="1" ht="11.25">
      <c r="A118" s="1856" t="s">
        <v>2288</v>
      </c>
      <c r="B118" s="1856" t="s">
        <v>16</v>
      </c>
      <c r="C118" s="1856" t="s">
        <v>2707</v>
      </c>
      <c r="D118" s="1856" t="s">
        <v>2708</v>
      </c>
      <c r="E118" s="1856" t="s">
        <v>2709</v>
      </c>
      <c r="F118" s="1856" t="s">
        <v>2300</v>
      </c>
      <c r="G118" s="1856" t="s">
        <v>2710</v>
      </c>
      <c r="H118" s="1856" t="s">
        <v>28</v>
      </c>
      <c r="I118" s="1856" t="s">
        <v>844</v>
      </c>
    </row>
    <row customHeight="1" ht="11.25">
      <c r="A119" s="1856" t="s">
        <v>2288</v>
      </c>
      <c r="B119" s="1856" t="s">
        <v>16</v>
      </c>
      <c r="C119" s="1856" t="s">
        <v>2711</v>
      </c>
      <c r="D119" s="1856" t="s">
        <v>2712</v>
      </c>
      <c r="E119" s="1856" t="s">
        <v>2713</v>
      </c>
      <c r="F119" s="1856" t="s">
        <v>2687</v>
      </c>
      <c r="G119" s="1856" t="s">
        <v>2714</v>
      </c>
      <c r="H119" s="1856" t="s">
        <v>28</v>
      </c>
      <c r="I119" s="1856" t="s">
        <v>844</v>
      </c>
    </row>
    <row customHeight="1" ht="11.25">
      <c r="A120" s="1856" t="s">
        <v>2288</v>
      </c>
      <c r="B120" s="1856" t="s">
        <v>16</v>
      </c>
      <c r="C120" s="1856" t="s">
        <v>2715</v>
      </c>
      <c r="D120" s="1856" t="s">
        <v>2716</v>
      </c>
      <c r="E120" s="1856" t="s">
        <v>2717</v>
      </c>
      <c r="F120" s="1856" t="s">
        <v>2300</v>
      </c>
      <c r="G120" s="1856" t="s">
        <v>28</v>
      </c>
      <c r="H120" s="1856" t="s">
        <v>28</v>
      </c>
      <c r="I120" s="1856" t="s">
        <v>844</v>
      </c>
    </row>
    <row customHeight="1" ht="11.25">
      <c r="A121" s="1856" t="s">
        <v>2288</v>
      </c>
      <c r="B121" s="1856" t="s">
        <v>16</v>
      </c>
      <c r="C121" s="1856" t="s">
        <v>2718</v>
      </c>
      <c r="D121" s="1856" t="s">
        <v>2719</v>
      </c>
      <c r="E121" s="1856" t="s">
        <v>2720</v>
      </c>
      <c r="F121" s="1856" t="s">
        <v>2400</v>
      </c>
      <c r="G121" s="1856" t="s">
        <v>2721</v>
      </c>
      <c r="H121" s="1856" t="s">
        <v>28</v>
      </c>
      <c r="I121" s="1856" t="s">
        <v>844</v>
      </c>
    </row>
    <row customHeight="1" ht="11.25">
      <c r="A122" s="1856" t="s">
        <v>2288</v>
      </c>
      <c r="B122" s="1856" t="s">
        <v>16</v>
      </c>
      <c r="C122" s="1856" t="s">
        <v>2722</v>
      </c>
      <c r="D122" s="1856" t="s">
        <v>2723</v>
      </c>
      <c r="E122" s="1856" t="s">
        <v>2724</v>
      </c>
      <c r="F122" s="1856" t="s">
        <v>2300</v>
      </c>
      <c r="G122" s="1856" t="s">
        <v>2725</v>
      </c>
      <c r="H122" s="1856" t="s">
        <v>28</v>
      </c>
      <c r="I122" s="1856" t="s">
        <v>844</v>
      </c>
    </row>
    <row customHeight="1" ht="11.25">
      <c r="A123" s="1856" t="s">
        <v>2288</v>
      </c>
      <c r="B123" s="1856" t="s">
        <v>16</v>
      </c>
      <c r="C123" s="1856" t="s">
        <v>2726</v>
      </c>
      <c r="D123" s="1856" t="s">
        <v>2727</v>
      </c>
      <c r="E123" s="1856" t="s">
        <v>2728</v>
      </c>
      <c r="F123" s="1856" t="s">
        <v>2400</v>
      </c>
      <c r="G123" s="1856" t="s">
        <v>2729</v>
      </c>
      <c r="H123" s="1856" t="s">
        <v>28</v>
      </c>
      <c r="I123" s="1856" t="s">
        <v>844</v>
      </c>
    </row>
    <row customHeight="1" ht="11.25">
      <c r="A124" s="1856" t="s">
        <v>2288</v>
      </c>
      <c r="B124" s="1856" t="s">
        <v>16</v>
      </c>
      <c r="C124" s="1856" t="s">
        <v>2730</v>
      </c>
      <c r="D124" s="1856" t="s">
        <v>2731</v>
      </c>
      <c r="E124" s="1856" t="s">
        <v>2732</v>
      </c>
      <c r="F124" s="1856" t="s">
        <v>2300</v>
      </c>
      <c r="G124" s="1856" t="s">
        <v>2733</v>
      </c>
      <c r="H124" s="1856" t="s">
        <v>28</v>
      </c>
      <c r="I124" s="1856" t="s">
        <v>844</v>
      </c>
    </row>
    <row customHeight="1" ht="11.25">
      <c r="A125" s="1856" t="s">
        <v>2288</v>
      </c>
      <c r="B125" s="1856" t="s">
        <v>16</v>
      </c>
      <c r="C125" s="1856" t="s">
        <v>2734</v>
      </c>
      <c r="D125" s="1856" t="s">
        <v>2735</v>
      </c>
      <c r="E125" s="1856" t="s">
        <v>2736</v>
      </c>
      <c r="F125" s="1856" t="s">
        <v>2319</v>
      </c>
      <c r="G125" s="1856" t="s">
        <v>2737</v>
      </c>
      <c r="H125" s="1856" t="s">
        <v>28</v>
      </c>
      <c r="I125" s="1856" t="s">
        <v>844</v>
      </c>
    </row>
    <row customHeight="1" ht="11.25">
      <c r="A126" s="1856" t="s">
        <v>2288</v>
      </c>
      <c r="B126" s="1856" t="s">
        <v>16</v>
      </c>
      <c r="C126" s="1856" t="s">
        <v>2738</v>
      </c>
      <c r="D126" s="1856" t="s">
        <v>2739</v>
      </c>
      <c r="E126" s="1856" t="s">
        <v>2740</v>
      </c>
      <c r="F126" s="1856" t="s">
        <v>2741</v>
      </c>
      <c r="G126" s="1856" t="s">
        <v>2742</v>
      </c>
      <c r="H126" s="1856" t="s">
        <v>28</v>
      </c>
      <c r="I126" s="1856" t="s">
        <v>844</v>
      </c>
    </row>
    <row customHeight="1" ht="11.25">
      <c r="A127" s="1856" t="s">
        <v>2288</v>
      </c>
      <c r="B127" s="1856" t="s">
        <v>16</v>
      </c>
      <c r="C127" s="1856" t="s">
        <v>2743</v>
      </c>
      <c r="D127" s="1856" t="s">
        <v>2744</v>
      </c>
      <c r="E127" s="1856" t="s">
        <v>2745</v>
      </c>
      <c r="F127" s="1856" t="s">
        <v>2746</v>
      </c>
      <c r="G127" s="1856" t="s">
        <v>2747</v>
      </c>
      <c r="H127" s="1856" t="s">
        <v>28</v>
      </c>
      <c r="I127" s="1856" t="s">
        <v>844</v>
      </c>
    </row>
    <row customHeight="1" ht="11.25">
      <c r="A128" s="1856" t="s">
        <v>2288</v>
      </c>
      <c r="B128" s="1856" t="s">
        <v>16</v>
      </c>
      <c r="C128" s="1856" t="s">
        <v>2748</v>
      </c>
      <c r="D128" s="1856" t="s">
        <v>2749</v>
      </c>
      <c r="E128" s="1856" t="s">
        <v>2750</v>
      </c>
      <c r="F128" s="1856" t="s">
        <v>2665</v>
      </c>
      <c r="G128" s="1856" t="s">
        <v>2751</v>
      </c>
      <c r="H128" s="1856" t="s">
        <v>28</v>
      </c>
      <c r="I128" s="1856" t="s">
        <v>844</v>
      </c>
    </row>
    <row customHeight="1" ht="11.25">
      <c r="A129" s="1856" t="s">
        <v>2288</v>
      </c>
      <c r="B129" s="1856" t="s">
        <v>16</v>
      </c>
      <c r="C129" s="1856" t="s">
        <v>2752</v>
      </c>
      <c r="D129" s="1856" t="s">
        <v>2753</v>
      </c>
      <c r="E129" s="1856" t="s">
        <v>2754</v>
      </c>
      <c r="F129" s="1856" t="s">
        <v>2300</v>
      </c>
      <c r="G129" s="1856" t="s">
        <v>2755</v>
      </c>
      <c r="H129" s="1856" t="s">
        <v>28</v>
      </c>
      <c r="I129" s="1856" t="s">
        <v>844</v>
      </c>
    </row>
    <row customHeight="1" ht="11.25">
      <c r="A130" s="1856" t="s">
        <v>2288</v>
      </c>
      <c r="B130" s="1856" t="s">
        <v>16</v>
      </c>
      <c r="C130" s="1856" t="s">
        <v>2756</v>
      </c>
      <c r="D130" s="1856" t="s">
        <v>2757</v>
      </c>
      <c r="E130" s="1856" t="s">
        <v>2758</v>
      </c>
      <c r="F130" s="1856" t="s">
        <v>2759</v>
      </c>
      <c r="G130" s="1856" t="s">
        <v>2760</v>
      </c>
      <c r="H130" s="1856" t="s">
        <v>28</v>
      </c>
      <c r="I130" s="1856" t="s">
        <v>844</v>
      </c>
    </row>
    <row customHeight="1" ht="11.25">
      <c r="A131" s="1856" t="s">
        <v>2288</v>
      </c>
      <c r="B131" s="1856" t="s">
        <v>16</v>
      </c>
      <c r="C131" s="1856" t="s">
        <v>2761</v>
      </c>
      <c r="D131" s="1856" t="s">
        <v>2762</v>
      </c>
      <c r="E131" s="1856" t="s">
        <v>2763</v>
      </c>
      <c r="F131" s="1856" t="s">
        <v>2759</v>
      </c>
      <c r="G131" s="1856" t="s">
        <v>2764</v>
      </c>
      <c r="H131" s="1856" t="s">
        <v>28</v>
      </c>
      <c r="I131" s="1856" t="s">
        <v>844</v>
      </c>
    </row>
    <row customHeight="1" ht="11.25">
      <c r="A132" s="1856" t="s">
        <v>2288</v>
      </c>
      <c r="B132" s="1856" t="s">
        <v>16</v>
      </c>
      <c r="C132" s="1856" t="s">
        <v>2765</v>
      </c>
      <c r="D132" s="1856" t="s">
        <v>2766</v>
      </c>
      <c r="E132" s="1856" t="s">
        <v>2767</v>
      </c>
      <c r="F132" s="1856" t="s">
        <v>2300</v>
      </c>
      <c r="G132" s="1856" t="s">
        <v>2768</v>
      </c>
      <c r="H132" s="1856" t="s">
        <v>28</v>
      </c>
      <c r="I132" s="1856" t="s">
        <v>844</v>
      </c>
    </row>
    <row customHeight="1" ht="11.25">
      <c r="A133" s="1856" t="s">
        <v>2288</v>
      </c>
      <c r="B133" s="1856" t="s">
        <v>16</v>
      </c>
      <c r="C133" s="1856" t="s">
        <v>2769</v>
      </c>
      <c r="D133" s="1856" t="s">
        <v>2770</v>
      </c>
      <c r="E133" s="1856" t="s">
        <v>2771</v>
      </c>
      <c r="F133" s="1856" t="s">
        <v>2687</v>
      </c>
      <c r="G133" s="1856" t="s">
        <v>2772</v>
      </c>
      <c r="H133" s="1856" t="s">
        <v>28</v>
      </c>
      <c r="I133" s="1856" t="s">
        <v>844</v>
      </c>
    </row>
    <row customHeight="1" ht="11.25">
      <c r="A134" s="1856" t="s">
        <v>2288</v>
      </c>
      <c r="B134" s="1856" t="s">
        <v>16</v>
      </c>
      <c r="C134" s="1856" t="s">
        <v>2773</v>
      </c>
      <c r="D134" s="1856" t="s">
        <v>2774</v>
      </c>
      <c r="E134" s="1856" t="s">
        <v>2775</v>
      </c>
      <c r="F134" s="1856" t="s">
        <v>2656</v>
      </c>
      <c r="G134" s="1856" t="s">
        <v>2776</v>
      </c>
      <c r="H134" s="1856" t="s">
        <v>28</v>
      </c>
      <c r="I134" s="1856" t="s">
        <v>844</v>
      </c>
    </row>
    <row customHeight="1" ht="11.25">
      <c r="A135" s="1856" t="s">
        <v>2288</v>
      </c>
      <c r="B135" s="1856" t="s">
        <v>16</v>
      </c>
      <c r="C135" s="1856" t="s">
        <v>2777</v>
      </c>
      <c r="D135" s="1856" t="s">
        <v>2778</v>
      </c>
      <c r="E135" s="1856" t="s">
        <v>2779</v>
      </c>
      <c r="F135" s="1856" t="s">
        <v>2665</v>
      </c>
      <c r="G135" s="1856" t="s">
        <v>2780</v>
      </c>
      <c r="H135" s="1856" t="s">
        <v>28</v>
      </c>
      <c r="I135" s="1856" t="s">
        <v>844</v>
      </c>
    </row>
    <row customHeight="1" ht="11.25">
      <c r="A136" s="1856" t="s">
        <v>2288</v>
      </c>
      <c r="B136" s="1856" t="s">
        <v>16</v>
      </c>
      <c r="C136" s="1856" t="s">
        <v>2781</v>
      </c>
      <c r="D136" s="1856" t="s">
        <v>2782</v>
      </c>
      <c r="E136" s="1856" t="s">
        <v>2783</v>
      </c>
      <c r="F136" s="1856" t="s">
        <v>2300</v>
      </c>
      <c r="G136" s="1856" t="s">
        <v>2784</v>
      </c>
      <c r="H136" s="1856" t="s">
        <v>28</v>
      </c>
      <c r="I136" s="1856" t="s">
        <v>844</v>
      </c>
    </row>
    <row customHeight="1" ht="11.25">
      <c r="A137" s="1856" t="s">
        <v>2288</v>
      </c>
      <c r="B137" s="1856" t="s">
        <v>16</v>
      </c>
      <c r="C137" s="1856" t="s">
        <v>2785</v>
      </c>
      <c r="D137" s="1856" t="s">
        <v>2786</v>
      </c>
      <c r="E137" s="1856" t="s">
        <v>2787</v>
      </c>
      <c r="F137" s="1856" t="s">
        <v>2788</v>
      </c>
      <c r="G137" s="1856" t="s">
        <v>2789</v>
      </c>
      <c r="H137" s="1856" t="s">
        <v>28</v>
      </c>
      <c r="I137" s="1856" t="s">
        <v>844</v>
      </c>
    </row>
    <row customHeight="1" ht="11.25">
      <c r="A138" s="1856" t="s">
        <v>2288</v>
      </c>
      <c r="B138" s="1856" t="s">
        <v>16</v>
      </c>
      <c r="C138" s="1856" t="s">
        <v>2790</v>
      </c>
      <c r="D138" s="1856" t="s">
        <v>2791</v>
      </c>
      <c r="E138" s="1856" t="s">
        <v>2792</v>
      </c>
      <c r="F138" s="1856" t="s">
        <v>2687</v>
      </c>
      <c r="G138" s="1856" t="s">
        <v>2793</v>
      </c>
      <c r="H138" s="1856" t="s">
        <v>28</v>
      </c>
      <c r="I138" s="1856" t="s">
        <v>844</v>
      </c>
    </row>
    <row customHeight="1" ht="11.25">
      <c r="A139" s="1856" t="s">
        <v>2288</v>
      </c>
      <c r="B139" s="1856" t="s">
        <v>16</v>
      </c>
      <c r="C139" s="1856" t="s">
        <v>2794</v>
      </c>
      <c r="D139" s="1856" t="s">
        <v>2795</v>
      </c>
      <c r="E139" s="1856" t="s">
        <v>2796</v>
      </c>
      <c r="F139" s="1856" t="s">
        <v>2300</v>
      </c>
      <c r="G139" s="1856" t="s">
        <v>2797</v>
      </c>
      <c r="H139" s="1856" t="s">
        <v>28</v>
      </c>
      <c r="I139" s="1856" t="s">
        <v>844</v>
      </c>
    </row>
    <row customHeight="1" ht="11.25">
      <c r="A140" s="1856" t="s">
        <v>2288</v>
      </c>
      <c r="B140" s="1856" t="s">
        <v>16</v>
      </c>
      <c r="C140" s="1856" t="s">
        <v>2798</v>
      </c>
      <c r="D140" s="1856" t="s">
        <v>2799</v>
      </c>
      <c r="E140" s="1856" t="s">
        <v>2800</v>
      </c>
      <c r="F140" s="1856" t="s">
        <v>2328</v>
      </c>
      <c r="G140" s="1856" t="s">
        <v>2801</v>
      </c>
      <c r="H140" s="1856" t="s">
        <v>28</v>
      </c>
      <c r="I140" s="1856" t="s">
        <v>844</v>
      </c>
    </row>
    <row customHeight="1" ht="11.25">
      <c r="A141" s="1856" t="s">
        <v>2288</v>
      </c>
      <c r="B141" s="1856" t="s">
        <v>16</v>
      </c>
      <c r="C141" s="1856" t="s">
        <v>2802</v>
      </c>
      <c r="D141" s="1856" t="s">
        <v>2803</v>
      </c>
      <c r="E141" s="1856" t="s">
        <v>2804</v>
      </c>
      <c r="F141" s="1856" t="s">
        <v>2300</v>
      </c>
      <c r="G141" s="1856" t="s">
        <v>2805</v>
      </c>
      <c r="H141" s="1856" t="s">
        <v>28</v>
      </c>
      <c r="I141" s="1856" t="s">
        <v>844</v>
      </c>
    </row>
    <row customHeight="1" ht="11.25">
      <c r="A142" s="1856" t="s">
        <v>2288</v>
      </c>
      <c r="B142" s="1856" t="s">
        <v>16</v>
      </c>
      <c r="C142" s="1856" t="s">
        <v>2806</v>
      </c>
      <c r="D142" s="1856" t="s">
        <v>2807</v>
      </c>
      <c r="E142" s="1856" t="s">
        <v>2808</v>
      </c>
      <c r="F142" s="1856" t="s">
        <v>2300</v>
      </c>
      <c r="G142" s="1856" t="s">
        <v>2805</v>
      </c>
      <c r="H142" s="1856" t="s">
        <v>28</v>
      </c>
      <c r="I142" s="1856" t="s">
        <v>844</v>
      </c>
    </row>
    <row customHeight="1" ht="11.25">
      <c r="A143" s="1856" t="s">
        <v>2288</v>
      </c>
      <c r="B143" s="1856" t="s">
        <v>16</v>
      </c>
      <c r="C143" s="1856" t="s">
        <v>2809</v>
      </c>
      <c r="D143" s="1856" t="s">
        <v>2810</v>
      </c>
      <c r="E143" s="1856" t="s">
        <v>2811</v>
      </c>
      <c r="F143" s="1856" t="s">
        <v>2300</v>
      </c>
      <c r="G143" s="1856" t="s">
        <v>2812</v>
      </c>
      <c r="H143" s="1856" t="s">
        <v>28</v>
      </c>
      <c r="I143" s="1856" t="s">
        <v>844</v>
      </c>
    </row>
    <row customHeight="1" ht="11.25">
      <c r="A144" s="1856" t="s">
        <v>2288</v>
      </c>
      <c r="B144" s="1856" t="s">
        <v>16</v>
      </c>
      <c r="C144" s="1856" t="s">
        <v>2813</v>
      </c>
      <c r="D144" s="1856" t="s">
        <v>2814</v>
      </c>
      <c r="E144" s="1856" t="s">
        <v>2815</v>
      </c>
      <c r="F144" s="1856" t="s">
        <v>2319</v>
      </c>
      <c r="G144" s="1856" t="s">
        <v>2816</v>
      </c>
      <c r="H144" s="1856" t="s">
        <v>28</v>
      </c>
      <c r="I144" s="1856" t="s">
        <v>844</v>
      </c>
    </row>
    <row customHeight="1" ht="11.25">
      <c r="A145" s="1856" t="s">
        <v>2288</v>
      </c>
      <c r="B145" s="1856" t="s">
        <v>16</v>
      </c>
      <c r="C145" s="1856" t="s">
        <v>2817</v>
      </c>
      <c r="D145" s="1856" t="s">
        <v>2818</v>
      </c>
      <c r="E145" s="1856" t="s">
        <v>2819</v>
      </c>
      <c r="F145" s="1856" t="s">
        <v>2391</v>
      </c>
      <c r="G145" s="1856" t="s">
        <v>2820</v>
      </c>
      <c r="H145" s="1856" t="s">
        <v>28</v>
      </c>
      <c r="I145" s="1856" t="s">
        <v>844</v>
      </c>
    </row>
    <row customHeight="1" ht="11.25">
      <c r="A146" s="1856" t="s">
        <v>2288</v>
      </c>
      <c r="B146" s="1856" t="s">
        <v>16</v>
      </c>
      <c r="C146" s="1856" t="s">
        <v>2821</v>
      </c>
      <c r="D146" s="1856" t="s">
        <v>2822</v>
      </c>
      <c r="E146" s="1856" t="s">
        <v>2823</v>
      </c>
      <c r="F146" s="1856" t="s">
        <v>2692</v>
      </c>
      <c r="G146" s="1856" t="s">
        <v>2824</v>
      </c>
      <c r="H146" s="1856" t="s">
        <v>28</v>
      </c>
      <c r="I146" s="1856" t="s">
        <v>844</v>
      </c>
    </row>
    <row customHeight="1" ht="11.25">
      <c r="A147" s="1856" t="s">
        <v>2288</v>
      </c>
      <c r="B147" s="1856" t="s">
        <v>16</v>
      </c>
      <c r="C147" s="1856" t="s">
        <v>2825</v>
      </c>
      <c r="D147" s="1856" t="s">
        <v>2826</v>
      </c>
      <c r="E147" s="1856" t="s">
        <v>2827</v>
      </c>
      <c r="F147" s="1856" t="s">
        <v>2319</v>
      </c>
      <c r="G147" s="1856" t="s">
        <v>2828</v>
      </c>
      <c r="H147" s="1856" t="s">
        <v>28</v>
      </c>
      <c r="I147" s="1856" t="s">
        <v>844</v>
      </c>
    </row>
    <row customHeight="1" ht="11.25">
      <c r="A148" s="1856" t="s">
        <v>2288</v>
      </c>
      <c r="B148" s="1856" t="s">
        <v>16</v>
      </c>
      <c r="C148" s="1856" t="s">
        <v>2829</v>
      </c>
      <c r="D148" s="1856" t="s">
        <v>2830</v>
      </c>
      <c r="E148" s="1856" t="s">
        <v>2831</v>
      </c>
      <c r="F148" s="1856" t="s">
        <v>2300</v>
      </c>
      <c r="G148" s="1856" t="s">
        <v>2832</v>
      </c>
      <c r="H148" s="1856" t="s">
        <v>28</v>
      </c>
      <c r="I148" s="1856" t="s">
        <v>844</v>
      </c>
    </row>
    <row customHeight="1" ht="11.25">
      <c r="A149" s="1856" t="s">
        <v>2288</v>
      </c>
      <c r="B149" s="1856" t="s">
        <v>16</v>
      </c>
      <c r="C149" s="1856" t="s">
        <v>2833</v>
      </c>
      <c r="D149" s="1856" t="s">
        <v>2834</v>
      </c>
      <c r="E149" s="1856" t="s">
        <v>2835</v>
      </c>
      <c r="F149" s="1856" t="s">
        <v>2300</v>
      </c>
      <c r="G149" s="1856" t="s">
        <v>2836</v>
      </c>
      <c r="H149" s="1856" t="s">
        <v>28</v>
      </c>
      <c r="I149" s="1856" t="s">
        <v>844</v>
      </c>
    </row>
    <row customHeight="1" ht="11.25">
      <c r="A150" s="1856" t="s">
        <v>2288</v>
      </c>
      <c r="B150" s="1856" t="s">
        <v>16</v>
      </c>
      <c r="C150" s="1856" t="s">
        <v>2837</v>
      </c>
      <c r="D150" s="1856" t="s">
        <v>2838</v>
      </c>
      <c r="E150" s="1856" t="s">
        <v>2839</v>
      </c>
      <c r="F150" s="1856" t="s">
        <v>2840</v>
      </c>
      <c r="G150" s="1856" t="s">
        <v>2841</v>
      </c>
      <c r="H150" s="1856" t="s">
        <v>28</v>
      </c>
      <c r="I150" s="1856" t="s">
        <v>844</v>
      </c>
    </row>
    <row customHeight="1" ht="11.25">
      <c r="A151" s="1856" t="s">
        <v>2288</v>
      </c>
      <c r="B151" s="1856" t="s">
        <v>16</v>
      </c>
      <c r="C151" s="1856" t="s">
        <v>2842</v>
      </c>
      <c r="D151" s="1856" t="s">
        <v>2843</v>
      </c>
      <c r="E151" s="1856" t="s">
        <v>2844</v>
      </c>
      <c r="F151" s="1856" t="s">
        <v>2687</v>
      </c>
      <c r="G151" s="1856" t="s">
        <v>2845</v>
      </c>
      <c r="H151" s="1856" t="s">
        <v>28</v>
      </c>
      <c r="I151" s="1856" t="s">
        <v>844</v>
      </c>
    </row>
    <row customHeight="1" ht="11.25">
      <c r="A152" s="1856" t="s">
        <v>2288</v>
      </c>
      <c r="B152" s="1856" t="s">
        <v>16</v>
      </c>
      <c r="C152" s="1856" t="s">
        <v>2846</v>
      </c>
      <c r="D152" s="1856" t="s">
        <v>2847</v>
      </c>
      <c r="E152" s="1856" t="s">
        <v>2848</v>
      </c>
      <c r="F152" s="1856" t="s">
        <v>2840</v>
      </c>
      <c r="G152" s="1856" t="s">
        <v>2849</v>
      </c>
      <c r="H152" s="1856" t="s">
        <v>28</v>
      </c>
      <c r="I152" s="1856" t="s">
        <v>844</v>
      </c>
    </row>
    <row customHeight="1" ht="11.25">
      <c r="A153" s="1856" t="s">
        <v>2288</v>
      </c>
      <c r="B153" s="1856" t="s">
        <v>16</v>
      </c>
      <c r="C153" s="1856" t="s">
        <v>2850</v>
      </c>
      <c r="D153" s="1856" t="s">
        <v>2851</v>
      </c>
      <c r="E153" s="1856" t="s">
        <v>2852</v>
      </c>
      <c r="F153" s="1856" t="s">
        <v>2692</v>
      </c>
      <c r="G153" s="1856" t="s">
        <v>2853</v>
      </c>
      <c r="H153" s="1856" t="s">
        <v>28</v>
      </c>
      <c r="I153" s="1856" t="s">
        <v>844</v>
      </c>
    </row>
    <row customHeight="1" ht="11.25">
      <c r="A154" s="1856" t="s">
        <v>2288</v>
      </c>
      <c r="B154" s="1856" t="s">
        <v>16</v>
      </c>
      <c r="C154" s="1856" t="s">
        <v>2854</v>
      </c>
      <c r="D154" s="1856" t="s">
        <v>2855</v>
      </c>
      <c r="E154" s="1856" t="s">
        <v>2856</v>
      </c>
      <c r="F154" s="1856" t="s">
        <v>2840</v>
      </c>
      <c r="G154" s="1856" t="s">
        <v>2857</v>
      </c>
      <c r="H154" s="1856" t="s">
        <v>28</v>
      </c>
      <c r="I154" s="1856" t="s">
        <v>844</v>
      </c>
    </row>
    <row customHeight="1" ht="11.25">
      <c r="A155" s="1856" t="s">
        <v>2288</v>
      </c>
      <c r="B155" s="1856" t="s">
        <v>16</v>
      </c>
      <c r="C155" s="1856" t="s">
        <v>2858</v>
      </c>
      <c r="D155" s="1856" t="s">
        <v>2859</v>
      </c>
      <c r="E155" s="1856" t="s">
        <v>2860</v>
      </c>
      <c r="F155" s="1856" t="s">
        <v>2300</v>
      </c>
      <c r="G155" s="1856" t="s">
        <v>2657</v>
      </c>
      <c r="H155" s="1856" t="s">
        <v>28</v>
      </c>
      <c r="I155" s="1856" t="s">
        <v>844</v>
      </c>
    </row>
    <row customHeight="1" ht="11.25">
      <c r="A156" s="1856" t="s">
        <v>2288</v>
      </c>
      <c r="B156" s="1856" t="s">
        <v>16</v>
      </c>
      <c r="C156" s="1856" t="s">
        <v>2861</v>
      </c>
      <c r="D156" s="1856" t="s">
        <v>2862</v>
      </c>
      <c r="E156" s="1856" t="s">
        <v>2863</v>
      </c>
      <c r="F156" s="1856" t="s">
        <v>2300</v>
      </c>
      <c r="G156" s="1856" t="s">
        <v>2864</v>
      </c>
      <c r="H156" s="1856" t="s">
        <v>28</v>
      </c>
      <c r="I156" s="1856" t="s">
        <v>844</v>
      </c>
    </row>
    <row customHeight="1" ht="11.25">
      <c r="A157" s="1856" t="s">
        <v>2288</v>
      </c>
      <c r="B157" s="1856" t="s">
        <v>16</v>
      </c>
      <c r="C157" s="1856" t="s">
        <v>2865</v>
      </c>
      <c r="D157" s="1856" t="s">
        <v>2866</v>
      </c>
      <c r="E157" s="1856" t="s">
        <v>2867</v>
      </c>
      <c r="F157" s="1856" t="s">
        <v>2333</v>
      </c>
      <c r="G157" s="1856" t="s">
        <v>2868</v>
      </c>
      <c r="H157" s="1856" t="s">
        <v>28</v>
      </c>
      <c r="I157" s="1856" t="s">
        <v>844</v>
      </c>
    </row>
    <row customHeight="1" ht="11.25">
      <c r="A158" s="1856" t="s">
        <v>2288</v>
      </c>
      <c r="B158" s="1856" t="s">
        <v>16</v>
      </c>
      <c r="C158" s="1856" t="s">
        <v>2869</v>
      </c>
      <c r="D158" s="1856" t="s">
        <v>2870</v>
      </c>
      <c r="E158" s="1856" t="s">
        <v>2871</v>
      </c>
      <c r="F158" s="1856" t="s">
        <v>2300</v>
      </c>
      <c r="G158" s="1856" t="s">
        <v>2872</v>
      </c>
      <c r="H158" s="1856" t="s">
        <v>28</v>
      </c>
      <c r="I158" s="1856" t="s">
        <v>844</v>
      </c>
    </row>
    <row customHeight="1" ht="11.25">
      <c r="A159" s="1856" t="s">
        <v>2288</v>
      </c>
      <c r="B159" s="1856" t="s">
        <v>16</v>
      </c>
      <c r="C159" s="1856" t="s">
        <v>2873</v>
      </c>
      <c r="D159" s="1856" t="s">
        <v>2874</v>
      </c>
      <c r="E159" s="1856" t="s">
        <v>2875</v>
      </c>
      <c r="F159" s="1856" t="s">
        <v>2300</v>
      </c>
      <c r="G159" s="1856" t="s">
        <v>2876</v>
      </c>
      <c r="H159" s="1856" t="s">
        <v>28</v>
      </c>
      <c r="I159" s="1856" t="s">
        <v>844</v>
      </c>
    </row>
    <row customHeight="1" ht="11.25">
      <c r="A160" s="1856" t="s">
        <v>2288</v>
      </c>
      <c r="B160" s="1856" t="s">
        <v>16</v>
      </c>
      <c r="C160" s="1856" t="s">
        <v>2877</v>
      </c>
      <c r="D160" s="1856" t="s">
        <v>2878</v>
      </c>
      <c r="E160" s="1856" t="s">
        <v>2879</v>
      </c>
      <c r="F160" s="1856" t="s">
        <v>2674</v>
      </c>
      <c r="G160" s="1856" t="s">
        <v>2880</v>
      </c>
      <c r="H160" s="1856" t="s">
        <v>28</v>
      </c>
      <c r="I160" s="1856" t="s">
        <v>844</v>
      </c>
    </row>
    <row customHeight="1" ht="11.25">
      <c r="A161" s="1856" t="s">
        <v>2288</v>
      </c>
      <c r="B161" s="1856" t="s">
        <v>16</v>
      </c>
      <c r="C161" s="1856" t="s">
        <v>2881</v>
      </c>
      <c r="D161" s="1856" t="s">
        <v>2882</v>
      </c>
      <c r="E161" s="1856" t="s">
        <v>2883</v>
      </c>
      <c r="F161" s="1856" t="s">
        <v>2333</v>
      </c>
      <c r="G161" s="1856" t="s">
        <v>2884</v>
      </c>
      <c r="H161" s="1856" t="s">
        <v>28</v>
      </c>
      <c r="I161" s="1856" t="s">
        <v>844</v>
      </c>
    </row>
    <row customHeight="1" ht="11.25">
      <c r="A162" s="1856" t="s">
        <v>2288</v>
      </c>
      <c r="B162" s="1856" t="s">
        <v>16</v>
      </c>
      <c r="C162" s="1856" t="s">
        <v>2885</v>
      </c>
      <c r="D162" s="1856" t="s">
        <v>2886</v>
      </c>
      <c r="E162" s="1856" t="s">
        <v>2887</v>
      </c>
      <c r="F162" s="1856" t="s">
        <v>2888</v>
      </c>
      <c r="G162" s="1856" t="s">
        <v>2889</v>
      </c>
      <c r="H162" s="1856" t="s">
        <v>28</v>
      </c>
      <c r="I162" s="1856" t="s">
        <v>844</v>
      </c>
    </row>
    <row customHeight="1" ht="11.25">
      <c r="A163" s="1856" t="s">
        <v>2288</v>
      </c>
      <c r="B163" s="1856" t="s">
        <v>16</v>
      </c>
      <c r="C163" s="1856" t="s">
        <v>2890</v>
      </c>
      <c r="D163" s="1856" t="s">
        <v>2891</v>
      </c>
      <c r="E163" s="1856" t="s">
        <v>2892</v>
      </c>
      <c r="F163" s="1856" t="s">
        <v>2893</v>
      </c>
      <c r="G163" s="1856" t="s">
        <v>2894</v>
      </c>
      <c r="H163" s="1856" t="s">
        <v>28</v>
      </c>
      <c r="I163" s="1856" t="s">
        <v>844</v>
      </c>
    </row>
    <row customHeight="1" ht="11.25">
      <c r="A164" s="1856" t="s">
        <v>2288</v>
      </c>
      <c r="B164" s="1856" t="s">
        <v>16</v>
      </c>
      <c r="C164" s="1856" t="s">
        <v>2895</v>
      </c>
      <c r="D164" s="1856" t="s">
        <v>2896</v>
      </c>
      <c r="E164" s="1856" t="s">
        <v>2897</v>
      </c>
      <c r="F164" s="1856" t="s">
        <v>2788</v>
      </c>
      <c r="G164" s="1856" t="s">
        <v>2898</v>
      </c>
      <c r="H164" s="1856" t="s">
        <v>28</v>
      </c>
      <c r="I164" s="1856" t="s">
        <v>844</v>
      </c>
    </row>
    <row customHeight="1" ht="11.25">
      <c r="A165" s="1856" t="s">
        <v>2288</v>
      </c>
      <c r="B165" s="1856" t="s">
        <v>16</v>
      </c>
      <c r="C165" s="1856" t="s">
        <v>2899</v>
      </c>
      <c r="D165" s="1856" t="s">
        <v>2900</v>
      </c>
      <c r="E165" s="1856" t="s">
        <v>2901</v>
      </c>
      <c r="F165" s="1856" t="s">
        <v>2300</v>
      </c>
      <c r="G165" s="1856" t="s">
        <v>2902</v>
      </c>
      <c r="H165" s="1856" t="s">
        <v>28</v>
      </c>
      <c r="I165" s="1856" t="s">
        <v>844</v>
      </c>
    </row>
    <row customHeight="1" ht="11.25">
      <c r="A166" s="1856" t="s">
        <v>2288</v>
      </c>
      <c r="B166" s="1856" t="s">
        <v>16</v>
      </c>
      <c r="C166" s="1856" t="s">
        <v>2903</v>
      </c>
      <c r="D166" s="1856" t="s">
        <v>2904</v>
      </c>
      <c r="E166" s="1856" t="s">
        <v>2905</v>
      </c>
      <c r="F166" s="1856" t="s">
        <v>2333</v>
      </c>
      <c r="G166" s="1856" t="s">
        <v>2906</v>
      </c>
      <c r="H166" s="1856" t="s">
        <v>28</v>
      </c>
      <c r="I166" s="1856" t="s">
        <v>844</v>
      </c>
    </row>
    <row customHeight="1" ht="11.25">
      <c r="A167" s="1856" t="s">
        <v>2288</v>
      </c>
      <c r="B167" s="1856" t="s">
        <v>16</v>
      </c>
      <c r="C167" s="1856" t="s">
        <v>2907</v>
      </c>
      <c r="D167" s="1856" t="s">
        <v>2908</v>
      </c>
      <c r="E167" s="1856" t="s">
        <v>2909</v>
      </c>
      <c r="F167" s="1856" t="s">
        <v>2300</v>
      </c>
      <c r="G167" s="1856" t="s">
        <v>2910</v>
      </c>
      <c r="H167" s="1856" t="s">
        <v>28</v>
      </c>
      <c r="I167" s="1856" t="s">
        <v>844</v>
      </c>
    </row>
    <row customHeight="1" ht="11.25">
      <c r="A168" s="1856" t="s">
        <v>2288</v>
      </c>
      <c r="B168" s="1856" t="s">
        <v>16</v>
      </c>
      <c r="C168" s="1856" t="s">
        <v>2911</v>
      </c>
      <c r="D168" s="1856" t="s">
        <v>2912</v>
      </c>
      <c r="E168" s="1856" t="s">
        <v>2913</v>
      </c>
      <c r="F168" s="1856" t="s">
        <v>2300</v>
      </c>
      <c r="G168" s="1856" t="s">
        <v>2914</v>
      </c>
      <c r="H168" s="1856" t="s">
        <v>28</v>
      </c>
      <c r="I168" s="1856" t="s">
        <v>844</v>
      </c>
    </row>
    <row customHeight="1" ht="11.25">
      <c r="A169" s="1856" t="s">
        <v>2288</v>
      </c>
      <c r="B169" s="1856" t="s">
        <v>16</v>
      </c>
      <c r="C169" s="1856" t="s">
        <v>2915</v>
      </c>
      <c r="D169" s="1856" t="s">
        <v>2916</v>
      </c>
      <c r="E169" s="1856" t="s">
        <v>2917</v>
      </c>
      <c r="F169" s="1856" t="s">
        <v>2300</v>
      </c>
      <c r="G169" s="1856" t="s">
        <v>28</v>
      </c>
      <c r="H169" s="1856" t="s">
        <v>28</v>
      </c>
      <c r="I169" s="1856" t="s">
        <v>844</v>
      </c>
    </row>
    <row customHeight="1" ht="11.25">
      <c r="A170" s="1856" t="s">
        <v>2288</v>
      </c>
      <c r="B170" s="1856" t="s">
        <v>16</v>
      </c>
      <c r="C170" s="1856" t="s">
        <v>2918</v>
      </c>
      <c r="D170" s="1856" t="s">
        <v>2919</v>
      </c>
      <c r="E170" s="1856" t="s">
        <v>2920</v>
      </c>
      <c r="F170" s="1856" t="s">
        <v>2687</v>
      </c>
      <c r="G170" s="1856" t="s">
        <v>2921</v>
      </c>
      <c r="H170" s="1856" t="s">
        <v>28</v>
      </c>
      <c r="I170" s="1856" t="s">
        <v>844</v>
      </c>
    </row>
    <row customHeight="1" ht="11.25">
      <c r="A171" s="1856" t="s">
        <v>2288</v>
      </c>
      <c r="B171" s="1856" t="s">
        <v>16</v>
      </c>
      <c r="C171" s="1856" t="s">
        <v>2922</v>
      </c>
      <c r="D171" s="1856" t="s">
        <v>2923</v>
      </c>
      <c r="E171" s="1856" t="s">
        <v>2924</v>
      </c>
      <c r="F171" s="1856" t="s">
        <v>2687</v>
      </c>
      <c r="G171" s="1856" t="s">
        <v>2925</v>
      </c>
      <c r="H171" s="1856" t="s">
        <v>28</v>
      </c>
      <c r="I171" s="1856" t="s">
        <v>844</v>
      </c>
    </row>
    <row customHeight="1" ht="11.25">
      <c r="A172" s="1856" t="s">
        <v>2288</v>
      </c>
      <c r="B172" s="1856" t="s">
        <v>16</v>
      </c>
      <c r="C172" s="1856" t="s">
        <v>2926</v>
      </c>
      <c r="D172" s="1856" t="s">
        <v>2927</v>
      </c>
      <c r="E172" s="1856" t="s">
        <v>2928</v>
      </c>
      <c r="F172" s="1856" t="s">
        <v>2656</v>
      </c>
      <c r="G172" s="1856" t="s">
        <v>2929</v>
      </c>
      <c r="H172" s="1856" t="s">
        <v>28</v>
      </c>
      <c r="I172" s="1856" t="s">
        <v>844</v>
      </c>
    </row>
    <row customHeight="1" ht="11.25">
      <c r="A173" s="1856" t="s">
        <v>2288</v>
      </c>
      <c r="B173" s="1856" t="s">
        <v>16</v>
      </c>
      <c r="C173" s="1856" t="s">
        <v>2930</v>
      </c>
      <c r="D173" s="1856" t="s">
        <v>2931</v>
      </c>
      <c r="E173" s="1856" t="s">
        <v>2932</v>
      </c>
      <c r="F173" s="1856" t="s">
        <v>2300</v>
      </c>
      <c r="G173" s="1856" t="s">
        <v>2933</v>
      </c>
      <c r="H173" s="1856" t="s">
        <v>28</v>
      </c>
      <c r="I173" s="1856" t="s">
        <v>844</v>
      </c>
    </row>
    <row customHeight="1" ht="11.25">
      <c r="A174" s="1856" t="s">
        <v>2288</v>
      </c>
      <c r="B174" s="1856" t="s">
        <v>16</v>
      </c>
      <c r="C174" s="1856" t="s">
        <v>2934</v>
      </c>
      <c r="D174" s="1856" t="s">
        <v>2935</v>
      </c>
      <c r="E174" s="1856" t="s">
        <v>2936</v>
      </c>
      <c r="F174" s="1856" t="s">
        <v>2300</v>
      </c>
      <c r="G174" s="1856" t="s">
        <v>2937</v>
      </c>
      <c r="H174" s="1856" t="s">
        <v>28</v>
      </c>
      <c r="I174" s="1856" t="s">
        <v>844</v>
      </c>
    </row>
    <row customHeight="1" ht="11.25">
      <c r="A175" s="1856" t="s">
        <v>2288</v>
      </c>
      <c r="B175" s="1856" t="s">
        <v>16</v>
      </c>
      <c r="C175" s="1856" t="s">
        <v>2938</v>
      </c>
      <c r="D175" s="1856" t="s">
        <v>2939</v>
      </c>
      <c r="E175" s="1856" t="s">
        <v>2940</v>
      </c>
      <c r="F175" s="1856" t="s">
        <v>2333</v>
      </c>
      <c r="G175" s="1856" t="s">
        <v>2941</v>
      </c>
      <c r="H175" s="1856" t="s">
        <v>28</v>
      </c>
      <c r="I175" s="1856" t="s">
        <v>844</v>
      </c>
    </row>
    <row customHeight="1" ht="11.25">
      <c r="A176" s="1856" t="s">
        <v>2288</v>
      </c>
      <c r="B176" s="1856" t="s">
        <v>16</v>
      </c>
      <c r="C176" s="1856" t="s">
        <v>2942</v>
      </c>
      <c r="D176" s="1856" t="s">
        <v>2943</v>
      </c>
      <c r="E176" s="1856" t="s">
        <v>2944</v>
      </c>
      <c r="F176" s="1856" t="s">
        <v>2701</v>
      </c>
      <c r="G176" s="1856" t="s">
        <v>2945</v>
      </c>
      <c r="H176" s="1856" t="s">
        <v>28</v>
      </c>
      <c r="I176" s="1856" t="s">
        <v>844</v>
      </c>
    </row>
    <row customHeight="1" ht="11.25">
      <c r="A177" s="1856" t="s">
        <v>2288</v>
      </c>
      <c r="B177" s="1856" t="s">
        <v>16</v>
      </c>
      <c r="C177" s="1856" t="s">
        <v>2946</v>
      </c>
      <c r="D177" s="1856" t="s">
        <v>2947</v>
      </c>
      <c r="E177" s="1856" t="s">
        <v>2948</v>
      </c>
      <c r="F177" s="1856" t="s">
        <v>2665</v>
      </c>
      <c r="G177" s="1856" t="s">
        <v>2949</v>
      </c>
      <c r="H177" s="1856" t="s">
        <v>28</v>
      </c>
      <c r="I177" s="1856" t="s">
        <v>844</v>
      </c>
    </row>
    <row customHeight="1" ht="11.25">
      <c r="A178" s="1856" t="s">
        <v>2288</v>
      </c>
      <c r="B178" s="1856" t="s">
        <v>16</v>
      </c>
      <c r="C178" s="1856" t="s">
        <v>2950</v>
      </c>
      <c r="D178" s="1856" t="s">
        <v>2951</v>
      </c>
      <c r="E178" s="1856" t="s">
        <v>2952</v>
      </c>
      <c r="F178" s="1856" t="s">
        <v>2665</v>
      </c>
      <c r="G178" s="1856" t="s">
        <v>2953</v>
      </c>
      <c r="H178" s="1856" t="s">
        <v>28</v>
      </c>
      <c r="I178" s="1856" t="s">
        <v>844</v>
      </c>
    </row>
    <row customHeight="1" ht="11.25">
      <c r="A179" s="1856" t="s">
        <v>2288</v>
      </c>
      <c r="B179" s="1856" t="s">
        <v>16</v>
      </c>
      <c r="C179" s="1856" t="s">
        <v>2954</v>
      </c>
      <c r="D179" s="1856" t="s">
        <v>2955</v>
      </c>
      <c r="E179" s="1856" t="s">
        <v>2956</v>
      </c>
      <c r="F179" s="1856" t="s">
        <v>2300</v>
      </c>
      <c r="G179" s="1856" t="s">
        <v>2957</v>
      </c>
      <c r="H179" s="1856" t="s">
        <v>28</v>
      </c>
      <c r="I179" s="1856" t="s">
        <v>844</v>
      </c>
    </row>
    <row customHeight="1" ht="11.25">
      <c r="A180" s="1856" t="s">
        <v>2288</v>
      </c>
      <c r="B180" s="1856" t="s">
        <v>16</v>
      </c>
      <c r="C180" s="1856" t="s">
        <v>2958</v>
      </c>
      <c r="D180" s="1856" t="s">
        <v>2959</v>
      </c>
      <c r="E180" s="1856" t="s">
        <v>2960</v>
      </c>
      <c r="F180" s="1856" t="s">
        <v>2656</v>
      </c>
      <c r="G180" s="1856" t="s">
        <v>28</v>
      </c>
      <c r="H180" s="1856" t="s">
        <v>28</v>
      </c>
      <c r="I180" s="1856" t="s">
        <v>844</v>
      </c>
    </row>
    <row customHeight="1" ht="11.25">
      <c r="A181" s="1856" t="s">
        <v>2288</v>
      </c>
      <c r="B181" s="1856" t="s">
        <v>16</v>
      </c>
      <c r="C181" s="1856" t="s">
        <v>2961</v>
      </c>
      <c r="D181" s="1856" t="s">
        <v>2962</v>
      </c>
      <c r="E181" s="1856" t="s">
        <v>2963</v>
      </c>
      <c r="F181" s="1856" t="s">
        <v>2665</v>
      </c>
      <c r="G181" s="1856" t="s">
        <v>2964</v>
      </c>
      <c r="H181" s="1856" t="s">
        <v>28</v>
      </c>
      <c r="I181" s="1856" t="s">
        <v>844</v>
      </c>
    </row>
    <row customHeight="1" ht="11.25">
      <c r="A182" s="1856" t="s">
        <v>2288</v>
      </c>
      <c r="B182" s="1856" t="s">
        <v>16</v>
      </c>
      <c r="C182" s="1856" t="s">
        <v>2965</v>
      </c>
      <c r="D182" s="1856" t="s">
        <v>2966</v>
      </c>
      <c r="E182" s="1856" t="s">
        <v>2967</v>
      </c>
      <c r="F182" s="1856" t="s">
        <v>2300</v>
      </c>
      <c r="G182" s="1856" t="s">
        <v>2968</v>
      </c>
      <c r="H182" s="1856" t="s">
        <v>28</v>
      </c>
      <c r="I182" s="1856" t="s">
        <v>844</v>
      </c>
    </row>
    <row customHeight="1" ht="11.25">
      <c r="A183" s="1856" t="s">
        <v>2288</v>
      </c>
      <c r="B183" s="1856" t="s">
        <v>16</v>
      </c>
      <c r="C183" s="1856" t="s">
        <v>2969</v>
      </c>
      <c r="D183" s="1856" t="s">
        <v>2970</v>
      </c>
      <c r="E183" s="1856" t="s">
        <v>2971</v>
      </c>
      <c r="F183" s="1856" t="s">
        <v>2651</v>
      </c>
      <c r="G183" s="1856" t="s">
        <v>2972</v>
      </c>
      <c r="H183" s="1856" t="s">
        <v>28</v>
      </c>
      <c r="I183" s="1856" t="s">
        <v>844</v>
      </c>
    </row>
    <row customHeight="1" ht="11.25">
      <c r="A184" s="1856" t="s">
        <v>2288</v>
      </c>
      <c r="B184" s="1856" t="s">
        <v>16</v>
      </c>
      <c r="C184" s="1856" t="s">
        <v>2973</v>
      </c>
      <c r="D184" s="1856" t="s">
        <v>2974</v>
      </c>
      <c r="E184" s="1856" t="s">
        <v>2975</v>
      </c>
      <c r="F184" s="1856" t="s">
        <v>2687</v>
      </c>
      <c r="G184" s="1856" t="s">
        <v>2976</v>
      </c>
      <c r="H184" s="1856" t="s">
        <v>28</v>
      </c>
      <c r="I184" s="1856" t="s">
        <v>844</v>
      </c>
    </row>
    <row customHeight="1" ht="11.25">
      <c r="A185" s="1856" t="s">
        <v>2288</v>
      </c>
      <c r="B185" s="1856" t="s">
        <v>16</v>
      </c>
      <c r="C185" s="1856" t="s">
        <v>2977</v>
      </c>
      <c r="D185" s="1856" t="s">
        <v>2978</v>
      </c>
      <c r="E185" s="1856" t="s">
        <v>2979</v>
      </c>
      <c r="F185" s="1856" t="s">
        <v>2656</v>
      </c>
      <c r="G185" s="1856" t="s">
        <v>2576</v>
      </c>
      <c r="H185" s="1856" t="s">
        <v>28</v>
      </c>
      <c r="I185" s="1856" t="s">
        <v>844</v>
      </c>
    </row>
    <row customHeight="1" ht="11.25">
      <c r="A186" s="1856" t="s">
        <v>2288</v>
      </c>
      <c r="B186" s="1856" t="s">
        <v>16</v>
      </c>
      <c r="C186" s="1856" t="s">
        <v>2980</v>
      </c>
      <c r="D186" s="1856" t="s">
        <v>2981</v>
      </c>
      <c r="E186" s="1856" t="s">
        <v>2982</v>
      </c>
      <c r="F186" s="1856" t="s">
        <v>2391</v>
      </c>
      <c r="G186" s="1856" t="s">
        <v>2983</v>
      </c>
      <c r="H186" s="1856" t="s">
        <v>28</v>
      </c>
      <c r="I186" s="1856" t="s">
        <v>844</v>
      </c>
    </row>
    <row customHeight="1" ht="11.25">
      <c r="A187" s="1856" t="s">
        <v>2288</v>
      </c>
      <c r="B187" s="1856" t="s">
        <v>16</v>
      </c>
      <c r="C187" s="1856" t="s">
        <v>2984</v>
      </c>
      <c r="D187" s="1856" t="s">
        <v>2985</v>
      </c>
      <c r="E187" s="1856" t="s">
        <v>2986</v>
      </c>
      <c r="F187" s="1856" t="s">
        <v>2646</v>
      </c>
      <c r="G187" s="1856" t="s">
        <v>2987</v>
      </c>
      <c r="H187" s="1856" t="s">
        <v>28</v>
      </c>
      <c r="I187" s="1856" t="s">
        <v>844</v>
      </c>
    </row>
    <row customHeight="1" ht="11.25">
      <c r="A188" s="1856" t="s">
        <v>2288</v>
      </c>
      <c r="B188" s="1856" t="s">
        <v>16</v>
      </c>
      <c r="C188" s="1856" t="s">
        <v>2988</v>
      </c>
      <c r="D188" s="1856" t="s">
        <v>2989</v>
      </c>
      <c r="E188" s="1856" t="s">
        <v>2990</v>
      </c>
      <c r="F188" s="1856" t="s">
        <v>2300</v>
      </c>
      <c r="G188" s="1856" t="s">
        <v>2991</v>
      </c>
      <c r="H188" s="1856" t="s">
        <v>28</v>
      </c>
      <c r="I188" s="1856" t="s">
        <v>844</v>
      </c>
    </row>
    <row customHeight="1" ht="11.25">
      <c r="A189" s="1856" t="s">
        <v>2288</v>
      </c>
      <c r="B189" s="1856" t="s">
        <v>16</v>
      </c>
      <c r="C189" s="1856" t="s">
        <v>2992</v>
      </c>
      <c r="D189" s="1856" t="s">
        <v>2993</v>
      </c>
      <c r="E189" s="1856" t="s">
        <v>2994</v>
      </c>
      <c r="F189" s="1856" t="s">
        <v>2300</v>
      </c>
      <c r="G189" s="1856" t="s">
        <v>2995</v>
      </c>
      <c r="H189" s="1856" t="s">
        <v>28</v>
      </c>
      <c r="I189" s="1856" t="s">
        <v>844</v>
      </c>
    </row>
    <row customHeight="1" ht="11.25">
      <c r="A190" s="1856" t="s">
        <v>2288</v>
      </c>
      <c r="B190" s="1856" t="s">
        <v>16</v>
      </c>
      <c r="C190" s="1856" t="s">
        <v>2996</v>
      </c>
      <c r="D190" s="1856" t="s">
        <v>2997</v>
      </c>
      <c r="E190" s="1856" t="s">
        <v>2998</v>
      </c>
      <c r="F190" s="1856" t="s">
        <v>2665</v>
      </c>
      <c r="G190" s="1856" t="s">
        <v>2999</v>
      </c>
      <c r="H190" s="1856" t="s">
        <v>28</v>
      </c>
      <c r="I190" s="1856" t="s">
        <v>844</v>
      </c>
    </row>
    <row customHeight="1" ht="11.25">
      <c r="A191" s="1856" t="s">
        <v>2288</v>
      </c>
      <c r="B191" s="1856" t="s">
        <v>16</v>
      </c>
      <c r="C191" s="1856" t="s">
        <v>3000</v>
      </c>
      <c r="D191" s="1856" t="s">
        <v>3001</v>
      </c>
      <c r="E191" s="1856" t="s">
        <v>3002</v>
      </c>
      <c r="F191" s="1856" t="s">
        <v>2656</v>
      </c>
      <c r="G191" s="1856" t="s">
        <v>3003</v>
      </c>
      <c r="H191" s="1856" t="s">
        <v>28</v>
      </c>
      <c r="I191" s="1856" t="s">
        <v>844</v>
      </c>
    </row>
    <row customHeight="1" ht="11.25">
      <c r="A192" s="1856" t="s">
        <v>2288</v>
      </c>
      <c r="B192" s="1856" t="s">
        <v>16</v>
      </c>
      <c r="C192" s="1856" t="s">
        <v>3004</v>
      </c>
      <c r="D192" s="1856" t="s">
        <v>3005</v>
      </c>
      <c r="E192" s="1856" t="s">
        <v>3006</v>
      </c>
      <c r="F192" s="1856" t="s">
        <v>2646</v>
      </c>
      <c r="G192" s="1856" t="s">
        <v>28</v>
      </c>
      <c r="H192" s="1856" t="s">
        <v>28</v>
      </c>
      <c r="I192" s="1856" t="s">
        <v>844</v>
      </c>
    </row>
    <row customHeight="1" ht="11.25">
      <c r="A193" s="1856" t="s">
        <v>2288</v>
      </c>
      <c r="B193" s="1856" t="s">
        <v>16</v>
      </c>
      <c r="C193" s="1856" t="s">
        <v>3007</v>
      </c>
      <c r="D193" s="1856" t="s">
        <v>3008</v>
      </c>
      <c r="E193" s="1856" t="s">
        <v>3009</v>
      </c>
      <c r="F193" s="1856" t="s">
        <v>2656</v>
      </c>
      <c r="G193" s="1856" t="s">
        <v>3010</v>
      </c>
      <c r="H193" s="1856" t="s">
        <v>28</v>
      </c>
      <c r="I193" s="1856" t="s">
        <v>844</v>
      </c>
    </row>
    <row customHeight="1" ht="11.25">
      <c r="A194" s="1856" t="s">
        <v>2288</v>
      </c>
      <c r="B194" s="1856" t="s">
        <v>16</v>
      </c>
      <c r="C194" s="1856" t="s">
        <v>3011</v>
      </c>
      <c r="D194" s="1856" t="s">
        <v>3012</v>
      </c>
      <c r="E194" s="1856" t="s">
        <v>3013</v>
      </c>
      <c r="F194" s="1856" t="s">
        <v>3014</v>
      </c>
      <c r="G194" s="1856" t="s">
        <v>3015</v>
      </c>
      <c r="H194" s="1856" t="s">
        <v>28</v>
      </c>
      <c r="I194" s="1856" t="s">
        <v>844</v>
      </c>
    </row>
    <row customHeight="1" ht="11.25">
      <c r="A195" s="1856" t="s">
        <v>2288</v>
      </c>
      <c r="B195" s="1856" t="s">
        <v>16</v>
      </c>
      <c r="C195" s="1856" t="s">
        <v>3016</v>
      </c>
      <c r="D195" s="1856" t="s">
        <v>3017</v>
      </c>
      <c r="E195" s="1856" t="s">
        <v>3018</v>
      </c>
      <c r="F195" s="1856" t="s">
        <v>2665</v>
      </c>
      <c r="G195" s="1856" t="s">
        <v>3019</v>
      </c>
      <c r="H195" s="1856" t="s">
        <v>28</v>
      </c>
      <c r="I195" s="1856" t="s">
        <v>844</v>
      </c>
    </row>
    <row customHeight="1" ht="11.25">
      <c r="A196" s="1856" t="s">
        <v>2288</v>
      </c>
      <c r="B196" s="1856" t="s">
        <v>16</v>
      </c>
      <c r="C196" s="1856" t="s">
        <v>3020</v>
      </c>
      <c r="D196" s="1856" t="s">
        <v>3021</v>
      </c>
      <c r="E196" s="1856" t="s">
        <v>3022</v>
      </c>
      <c r="F196" s="1856" t="s">
        <v>2687</v>
      </c>
      <c r="G196" s="1856" t="s">
        <v>3023</v>
      </c>
      <c r="H196" s="1856" t="s">
        <v>28</v>
      </c>
      <c r="I196" s="1856" t="s">
        <v>844</v>
      </c>
    </row>
    <row customHeight="1" ht="11.25">
      <c r="A197" s="1856" t="s">
        <v>2288</v>
      </c>
      <c r="B197" s="1856" t="s">
        <v>16</v>
      </c>
      <c r="C197" s="1856" t="s">
        <v>3024</v>
      </c>
      <c r="D197" s="1856" t="s">
        <v>3025</v>
      </c>
      <c r="E197" s="1856" t="s">
        <v>3026</v>
      </c>
      <c r="F197" s="1856" t="s">
        <v>2651</v>
      </c>
      <c r="G197" s="1856" t="s">
        <v>3027</v>
      </c>
      <c r="H197" s="1856" t="s">
        <v>28</v>
      </c>
      <c r="I197" s="1856" t="s">
        <v>844</v>
      </c>
    </row>
    <row customHeight="1" ht="11.25">
      <c r="A198" s="1856" t="s">
        <v>2288</v>
      </c>
      <c r="B198" s="1856" t="s">
        <v>16</v>
      </c>
      <c r="C198" s="1856" t="s">
        <v>3028</v>
      </c>
      <c r="D198" s="1856" t="s">
        <v>3029</v>
      </c>
      <c r="E198" s="1856" t="s">
        <v>3030</v>
      </c>
      <c r="F198" s="1856" t="s">
        <v>3031</v>
      </c>
      <c r="G198" s="1856" t="s">
        <v>3032</v>
      </c>
      <c r="H198" s="1856" t="s">
        <v>28</v>
      </c>
      <c r="I198" s="1856" t="s">
        <v>844</v>
      </c>
    </row>
    <row customHeight="1" ht="11.25">
      <c r="A199" s="1856" t="s">
        <v>2288</v>
      </c>
      <c r="B199" s="1856" t="s">
        <v>16</v>
      </c>
      <c r="C199" s="1856" t="s">
        <v>3033</v>
      </c>
      <c r="D199" s="1856" t="s">
        <v>3034</v>
      </c>
      <c r="E199" s="1856" t="s">
        <v>3035</v>
      </c>
      <c r="F199" s="1856" t="s">
        <v>2687</v>
      </c>
      <c r="G199" s="1856" t="s">
        <v>3036</v>
      </c>
      <c r="H199" s="1856" t="s">
        <v>28</v>
      </c>
      <c r="I199" s="1856" t="s">
        <v>844</v>
      </c>
    </row>
    <row customHeight="1" ht="11.25">
      <c r="A200" s="1856" t="s">
        <v>2288</v>
      </c>
      <c r="B200" s="1856" t="s">
        <v>16</v>
      </c>
      <c r="C200" s="1856" t="s">
        <v>3037</v>
      </c>
      <c r="D200" s="1856" t="s">
        <v>3038</v>
      </c>
      <c r="E200" s="1856" t="s">
        <v>3039</v>
      </c>
      <c r="F200" s="1856" t="s">
        <v>2656</v>
      </c>
      <c r="G200" s="1856" t="s">
        <v>3040</v>
      </c>
      <c r="H200" s="1856" t="s">
        <v>28</v>
      </c>
      <c r="I200" s="1856" t="s">
        <v>844</v>
      </c>
    </row>
    <row customHeight="1" ht="11.25">
      <c r="A201" s="1856" t="s">
        <v>2288</v>
      </c>
      <c r="B201" s="1856" t="s">
        <v>16</v>
      </c>
      <c r="C201" s="1856" t="s">
        <v>3041</v>
      </c>
      <c r="D201" s="1856" t="s">
        <v>3042</v>
      </c>
      <c r="E201" s="1856" t="s">
        <v>3043</v>
      </c>
      <c r="F201" s="1856" t="s">
        <v>2646</v>
      </c>
      <c r="G201" s="1856" t="s">
        <v>3044</v>
      </c>
      <c r="H201" s="1856" t="s">
        <v>28</v>
      </c>
      <c r="I201" s="1856" t="s">
        <v>844</v>
      </c>
    </row>
    <row customHeight="1" ht="11.25">
      <c r="A202" s="1856" t="s">
        <v>2288</v>
      </c>
      <c r="B202" s="1856" t="s">
        <v>16</v>
      </c>
      <c r="C202" s="1856" t="s">
        <v>3045</v>
      </c>
      <c r="D202" s="1856" t="s">
        <v>3046</v>
      </c>
      <c r="E202" s="1856" t="s">
        <v>3047</v>
      </c>
      <c r="F202" s="1856" t="s">
        <v>2300</v>
      </c>
      <c r="G202" s="1856" t="s">
        <v>3048</v>
      </c>
      <c r="H202" s="1856" t="s">
        <v>28</v>
      </c>
      <c r="I202" s="1856" t="s">
        <v>844</v>
      </c>
    </row>
    <row customHeight="1" ht="11.25">
      <c r="A203" s="1856" t="s">
        <v>2288</v>
      </c>
      <c r="B203" s="1856" t="s">
        <v>16</v>
      </c>
      <c r="C203" s="1856" t="s">
        <v>3049</v>
      </c>
      <c r="D203" s="1856" t="s">
        <v>3050</v>
      </c>
      <c r="E203" s="1856" t="s">
        <v>3051</v>
      </c>
      <c r="F203" s="1856" t="s">
        <v>2665</v>
      </c>
      <c r="G203" s="1856" t="s">
        <v>3052</v>
      </c>
      <c r="H203" s="1856" t="s">
        <v>28</v>
      </c>
      <c r="I203" s="1856" t="s">
        <v>844</v>
      </c>
    </row>
    <row customHeight="1" ht="11.25">
      <c r="A204" s="1856" t="s">
        <v>2288</v>
      </c>
      <c r="B204" s="1856" t="s">
        <v>16</v>
      </c>
      <c r="C204" s="1856" t="s">
        <v>3053</v>
      </c>
      <c r="D204" s="1856" t="s">
        <v>3054</v>
      </c>
      <c r="E204" s="1856" t="s">
        <v>3055</v>
      </c>
      <c r="F204" s="1856" t="s">
        <v>2300</v>
      </c>
      <c r="G204" s="1856" t="s">
        <v>3056</v>
      </c>
      <c r="H204" s="1856" t="s">
        <v>28</v>
      </c>
      <c r="I204" s="1856" t="s">
        <v>844</v>
      </c>
    </row>
    <row customHeight="1" ht="11.25">
      <c r="A205" s="1856" t="s">
        <v>2288</v>
      </c>
      <c r="B205" s="1856" t="s">
        <v>16</v>
      </c>
      <c r="C205" s="1856" t="s">
        <v>3057</v>
      </c>
      <c r="D205" s="1856" t="s">
        <v>3058</v>
      </c>
      <c r="E205" s="1856" t="s">
        <v>3059</v>
      </c>
      <c r="F205" s="1856" t="s">
        <v>2300</v>
      </c>
      <c r="G205" s="1856" t="s">
        <v>3060</v>
      </c>
      <c r="H205" s="1856" t="s">
        <v>28</v>
      </c>
      <c r="I205" s="1856" t="s">
        <v>844</v>
      </c>
    </row>
    <row customHeight="1" ht="11.25">
      <c r="A206" s="1856" t="s">
        <v>2288</v>
      </c>
      <c r="B206" s="1856" t="s">
        <v>16</v>
      </c>
      <c r="C206" s="1856" t="s">
        <v>3061</v>
      </c>
      <c r="D206" s="1856" t="s">
        <v>3062</v>
      </c>
      <c r="E206" s="1856" t="s">
        <v>3063</v>
      </c>
      <c r="F206" s="1856" t="s">
        <v>2840</v>
      </c>
      <c r="G206" s="1856" t="s">
        <v>3064</v>
      </c>
      <c r="H206" s="1856" t="s">
        <v>28</v>
      </c>
      <c r="I206" s="1856" t="s">
        <v>844</v>
      </c>
    </row>
    <row customHeight="1" ht="11.25">
      <c r="A207" s="1856" t="s">
        <v>2288</v>
      </c>
      <c r="B207" s="1856" t="s">
        <v>16</v>
      </c>
      <c r="C207" s="1856" t="s">
        <v>3065</v>
      </c>
      <c r="D207" s="1856" t="s">
        <v>3066</v>
      </c>
      <c r="E207" s="1856" t="s">
        <v>3067</v>
      </c>
      <c r="F207" s="1856" t="s">
        <v>2300</v>
      </c>
      <c r="G207" s="1856" t="s">
        <v>3068</v>
      </c>
      <c r="H207" s="1856" t="s">
        <v>28</v>
      </c>
      <c r="I207" s="1856" t="s">
        <v>844</v>
      </c>
    </row>
    <row customHeight="1" ht="11.25">
      <c r="A208" s="1856" t="s">
        <v>2288</v>
      </c>
      <c r="B208" s="1856" t="s">
        <v>16</v>
      </c>
      <c r="C208" s="1856" t="s">
        <v>3069</v>
      </c>
      <c r="D208" s="1856" t="s">
        <v>3070</v>
      </c>
      <c r="E208" s="1856" t="s">
        <v>3071</v>
      </c>
      <c r="F208" s="1856" t="s">
        <v>2665</v>
      </c>
      <c r="G208" s="1856" t="s">
        <v>3072</v>
      </c>
      <c r="H208" s="1856" t="s">
        <v>28</v>
      </c>
      <c r="I208" s="1856" t="s">
        <v>844</v>
      </c>
    </row>
    <row customHeight="1" ht="11.25">
      <c r="A209" s="1856" t="s">
        <v>2288</v>
      </c>
      <c r="B209" s="1856" t="s">
        <v>16</v>
      </c>
      <c r="C209" s="1856" t="s">
        <v>3073</v>
      </c>
      <c r="D209" s="1856" t="s">
        <v>3074</v>
      </c>
      <c r="E209" s="1856" t="s">
        <v>3075</v>
      </c>
      <c r="F209" s="1856" t="s">
        <v>2300</v>
      </c>
      <c r="G209" s="1856" t="s">
        <v>3076</v>
      </c>
      <c r="H209" s="1856" t="s">
        <v>28</v>
      </c>
      <c r="I209" s="1856" t="s">
        <v>844</v>
      </c>
    </row>
    <row customHeight="1" ht="11.25">
      <c r="A210" s="1856" t="s">
        <v>2288</v>
      </c>
      <c r="B210" s="1856" t="s">
        <v>16</v>
      </c>
      <c r="C210" s="1856" t="s">
        <v>3077</v>
      </c>
      <c r="D210" s="1856" t="s">
        <v>3078</v>
      </c>
      <c r="E210" s="1856" t="s">
        <v>3079</v>
      </c>
      <c r="F210" s="1856" t="s">
        <v>2300</v>
      </c>
      <c r="G210" s="1856" t="s">
        <v>3080</v>
      </c>
      <c r="H210" s="1856" t="s">
        <v>28</v>
      </c>
      <c r="I210" s="1856" t="s">
        <v>844</v>
      </c>
    </row>
    <row customHeight="1" ht="11.25">
      <c r="A211" s="1856" t="s">
        <v>2288</v>
      </c>
      <c r="B211" s="1856" t="s">
        <v>16</v>
      </c>
      <c r="C211" s="1856" t="s">
        <v>3081</v>
      </c>
      <c r="D211" s="1856" t="s">
        <v>3082</v>
      </c>
      <c r="E211" s="1856" t="s">
        <v>3083</v>
      </c>
      <c r="F211" s="1856" t="s">
        <v>2300</v>
      </c>
      <c r="G211" s="1856" t="s">
        <v>3084</v>
      </c>
      <c r="H211" s="1856" t="s">
        <v>28</v>
      </c>
      <c r="I211" s="1856" t="s">
        <v>844</v>
      </c>
    </row>
    <row customHeight="1" ht="11.25">
      <c r="A212" s="1856" t="s">
        <v>2288</v>
      </c>
      <c r="B212" s="1856" t="s">
        <v>16</v>
      </c>
      <c r="C212" s="1856" t="s">
        <v>3085</v>
      </c>
      <c r="D212" s="1856" t="s">
        <v>3086</v>
      </c>
      <c r="E212" s="1856" t="s">
        <v>3087</v>
      </c>
      <c r="F212" s="1856" t="s">
        <v>2300</v>
      </c>
      <c r="G212" s="1856" t="s">
        <v>3088</v>
      </c>
      <c r="H212" s="1856" t="s">
        <v>28</v>
      </c>
      <c r="I212" s="1856" t="s">
        <v>844</v>
      </c>
    </row>
    <row customHeight="1" ht="11.25">
      <c r="A213" s="1856" t="s">
        <v>2288</v>
      </c>
      <c r="B213" s="1856" t="s">
        <v>16</v>
      </c>
      <c r="C213" s="1856" t="s">
        <v>3089</v>
      </c>
      <c r="D213" s="1856" t="s">
        <v>3090</v>
      </c>
      <c r="E213" s="1856" t="s">
        <v>3091</v>
      </c>
      <c r="F213" s="1856" t="s">
        <v>2300</v>
      </c>
      <c r="G213" s="1856" t="s">
        <v>3092</v>
      </c>
      <c r="H213" s="1856" t="s">
        <v>28</v>
      </c>
      <c r="I213" s="1856" t="s">
        <v>844</v>
      </c>
    </row>
    <row customHeight="1" ht="11.25">
      <c r="A214" s="1856" t="s">
        <v>2288</v>
      </c>
      <c r="B214" s="1856" t="s">
        <v>16</v>
      </c>
      <c r="C214" s="1856" t="s">
        <v>3093</v>
      </c>
      <c r="D214" s="1856" t="s">
        <v>3094</v>
      </c>
      <c r="E214" s="1856" t="s">
        <v>3095</v>
      </c>
      <c r="F214" s="1856" t="s">
        <v>2300</v>
      </c>
      <c r="G214" s="1856" t="s">
        <v>3096</v>
      </c>
      <c r="H214" s="1856" t="s">
        <v>28</v>
      </c>
      <c r="I214" s="1856" t="s">
        <v>844</v>
      </c>
    </row>
    <row customHeight="1" ht="11.25">
      <c r="A215" s="1856" t="s">
        <v>2288</v>
      </c>
      <c r="B215" s="1856" t="s">
        <v>16</v>
      </c>
      <c r="C215" s="1856" t="s">
        <v>3097</v>
      </c>
      <c r="D215" s="1856" t="s">
        <v>3098</v>
      </c>
      <c r="E215" s="1856" t="s">
        <v>3099</v>
      </c>
      <c r="F215" s="1856" t="s">
        <v>2300</v>
      </c>
      <c r="G215" s="1856" t="s">
        <v>3100</v>
      </c>
      <c r="H215" s="1856" t="s">
        <v>28</v>
      </c>
      <c r="I215" s="1856" t="s">
        <v>844</v>
      </c>
    </row>
    <row customHeight="1" ht="11.25">
      <c r="A216" s="1856" t="s">
        <v>2288</v>
      </c>
      <c r="B216" s="1856" t="s">
        <v>16</v>
      </c>
      <c r="C216" s="1856" t="s">
        <v>3101</v>
      </c>
      <c r="D216" s="1856" t="s">
        <v>3102</v>
      </c>
      <c r="E216" s="1856" t="s">
        <v>3103</v>
      </c>
      <c r="F216" s="1856" t="s">
        <v>2646</v>
      </c>
      <c r="G216" s="1856" t="s">
        <v>3104</v>
      </c>
      <c r="H216" s="1856" t="s">
        <v>28</v>
      </c>
      <c r="I216" s="1856" t="s">
        <v>844</v>
      </c>
    </row>
    <row customHeight="1" ht="11.25">
      <c r="A217" s="1856" t="s">
        <v>2288</v>
      </c>
      <c r="B217" s="1856" t="s">
        <v>16</v>
      </c>
      <c r="C217" s="1856" t="s">
        <v>3105</v>
      </c>
      <c r="D217" s="1856" t="s">
        <v>3106</v>
      </c>
      <c r="E217" s="1856" t="s">
        <v>3107</v>
      </c>
      <c r="F217" s="1856" t="s">
        <v>3108</v>
      </c>
      <c r="G217" s="1856" t="s">
        <v>3109</v>
      </c>
      <c r="H217" s="1856" t="s">
        <v>28</v>
      </c>
      <c r="I217" s="1856" t="s">
        <v>844</v>
      </c>
    </row>
    <row customHeight="1" ht="11.25">
      <c r="A218" s="1856" t="s">
        <v>2288</v>
      </c>
      <c r="B218" s="1856" t="s">
        <v>16</v>
      </c>
      <c r="C218" s="1856" t="s">
        <v>3110</v>
      </c>
      <c r="D218" s="1856" t="s">
        <v>3111</v>
      </c>
      <c r="E218" s="1856" t="s">
        <v>3112</v>
      </c>
      <c r="F218" s="1856" t="s">
        <v>2300</v>
      </c>
      <c r="G218" s="1856" t="s">
        <v>3113</v>
      </c>
      <c r="H218" s="1856" t="s">
        <v>28</v>
      </c>
      <c r="I218" s="1856" t="s">
        <v>844</v>
      </c>
    </row>
    <row customHeight="1" ht="11.25">
      <c r="A219" s="1856" t="s">
        <v>2288</v>
      </c>
      <c r="B219" s="1856" t="s">
        <v>16</v>
      </c>
      <c r="C219" s="1856" t="s">
        <v>3114</v>
      </c>
      <c r="D219" s="1856" t="s">
        <v>3115</v>
      </c>
      <c r="E219" s="1856" t="s">
        <v>3116</v>
      </c>
      <c r="F219" s="1856" t="s">
        <v>2333</v>
      </c>
      <c r="G219" s="1856" t="s">
        <v>3117</v>
      </c>
      <c r="H219" s="1856" t="s">
        <v>28</v>
      </c>
      <c r="I219" s="1856" t="s">
        <v>844</v>
      </c>
    </row>
    <row customHeight="1" ht="11.25">
      <c r="A220" s="1856" t="s">
        <v>2288</v>
      </c>
      <c r="B220" s="1856" t="s">
        <v>16</v>
      </c>
      <c r="C220" s="1856" t="s">
        <v>3118</v>
      </c>
      <c r="D220" s="1856" t="s">
        <v>3119</v>
      </c>
      <c r="E220" s="1856" t="s">
        <v>3120</v>
      </c>
      <c r="F220" s="1856" t="s">
        <v>3121</v>
      </c>
      <c r="G220" s="1856" t="s">
        <v>28</v>
      </c>
      <c r="H220" s="1856" t="s">
        <v>28</v>
      </c>
      <c r="I220" s="1856" t="s">
        <v>844</v>
      </c>
    </row>
    <row customHeight="1" ht="11.25">
      <c r="A221" s="1856" t="s">
        <v>2288</v>
      </c>
      <c r="B221" s="1856" t="s">
        <v>16</v>
      </c>
      <c r="C221" s="1856" t="s">
        <v>3122</v>
      </c>
      <c r="D221" s="1856" t="s">
        <v>3123</v>
      </c>
      <c r="E221" s="1856" t="s">
        <v>3124</v>
      </c>
      <c r="F221" s="1856" t="s">
        <v>2300</v>
      </c>
      <c r="G221" s="1856" t="s">
        <v>3125</v>
      </c>
      <c r="H221" s="1856" t="s">
        <v>28</v>
      </c>
      <c r="I221" s="1856" t="s">
        <v>844</v>
      </c>
    </row>
    <row customHeight="1" ht="11.25">
      <c r="A222" s="1856" t="s">
        <v>2288</v>
      </c>
      <c r="B222" s="1856" t="s">
        <v>16</v>
      </c>
      <c r="C222" s="1856" t="s">
        <v>3126</v>
      </c>
      <c r="D222" s="1856" t="s">
        <v>3127</v>
      </c>
      <c r="E222" s="1856" t="s">
        <v>3128</v>
      </c>
      <c r="F222" s="1856" t="s">
        <v>2646</v>
      </c>
      <c r="G222" s="1856" t="s">
        <v>3129</v>
      </c>
      <c r="H222" s="1856" t="s">
        <v>28</v>
      </c>
      <c r="I222" s="1856" t="s">
        <v>844</v>
      </c>
    </row>
    <row customHeight="1" ht="11.25">
      <c r="A223" s="1856" t="s">
        <v>2288</v>
      </c>
      <c r="B223" s="1856" t="s">
        <v>16</v>
      </c>
      <c r="C223" s="1856" t="s">
        <v>3130</v>
      </c>
      <c r="D223" s="1856" t="s">
        <v>3131</v>
      </c>
      <c r="E223" s="1856" t="s">
        <v>3132</v>
      </c>
      <c r="F223" s="1856" t="s">
        <v>2300</v>
      </c>
      <c r="G223" s="1856" t="s">
        <v>3133</v>
      </c>
      <c r="H223" s="1856" t="s">
        <v>28</v>
      </c>
      <c r="I223" s="1856" t="s">
        <v>844</v>
      </c>
    </row>
    <row customHeight="1" ht="11.25">
      <c r="A224" s="1856" t="s">
        <v>2288</v>
      </c>
      <c r="B224" s="1856" t="s">
        <v>16</v>
      </c>
      <c r="C224" s="1856" t="s">
        <v>3134</v>
      </c>
      <c r="D224" s="1856" t="s">
        <v>3135</v>
      </c>
      <c r="E224" s="1856" t="s">
        <v>3136</v>
      </c>
      <c r="F224" s="1856" t="s">
        <v>3108</v>
      </c>
      <c r="G224" s="1856" t="s">
        <v>3137</v>
      </c>
      <c r="H224" s="1856" t="s">
        <v>28</v>
      </c>
      <c r="I224" s="1856" t="s">
        <v>844</v>
      </c>
    </row>
    <row customHeight="1" ht="11.25">
      <c r="A225" s="1856" t="s">
        <v>2288</v>
      </c>
      <c r="B225" s="1856" t="s">
        <v>16</v>
      </c>
      <c r="C225" s="1856" t="s">
        <v>3138</v>
      </c>
      <c r="D225" s="1856" t="s">
        <v>3139</v>
      </c>
      <c r="E225" s="1856" t="s">
        <v>3140</v>
      </c>
      <c r="F225" s="1856" t="s">
        <v>2300</v>
      </c>
      <c r="G225" s="1856" t="s">
        <v>3141</v>
      </c>
      <c r="H225" s="1856" t="s">
        <v>28</v>
      </c>
      <c r="I225" s="1856" t="s">
        <v>844</v>
      </c>
    </row>
    <row customHeight="1" ht="11.25">
      <c r="A226" s="1856" t="s">
        <v>2288</v>
      </c>
      <c r="B226" s="1856" t="s">
        <v>16</v>
      </c>
      <c r="C226" s="1856" t="s">
        <v>3142</v>
      </c>
      <c r="D226" s="1856" t="s">
        <v>3143</v>
      </c>
      <c r="E226" s="1856" t="s">
        <v>3144</v>
      </c>
      <c r="F226" s="1856" t="s">
        <v>2300</v>
      </c>
      <c r="G226" s="1856" t="s">
        <v>3145</v>
      </c>
      <c r="H226" s="1856" t="s">
        <v>28</v>
      </c>
      <c r="I226" s="1856" t="s">
        <v>844</v>
      </c>
    </row>
    <row customHeight="1" ht="11.25">
      <c r="A227" s="1856" t="s">
        <v>2288</v>
      </c>
      <c r="B227" s="1856" t="s">
        <v>16</v>
      </c>
      <c r="C227" s="1856" t="s">
        <v>3146</v>
      </c>
      <c r="D227" s="1856" t="s">
        <v>3147</v>
      </c>
      <c r="E227" s="1856" t="s">
        <v>3148</v>
      </c>
      <c r="F227" s="1856" t="s">
        <v>2687</v>
      </c>
      <c r="G227" s="1856" t="s">
        <v>3149</v>
      </c>
      <c r="H227" s="1856" t="s">
        <v>28</v>
      </c>
      <c r="I227" s="1856" t="s">
        <v>844</v>
      </c>
    </row>
    <row customHeight="1" ht="11.25">
      <c r="A228" s="1856" t="s">
        <v>2288</v>
      </c>
      <c r="B228" s="1856" t="s">
        <v>16</v>
      </c>
      <c r="C228" s="1856" t="s">
        <v>3150</v>
      </c>
      <c r="D228" s="1856" t="s">
        <v>3151</v>
      </c>
      <c r="E228" s="1856" t="s">
        <v>3152</v>
      </c>
      <c r="F228" s="1856" t="s">
        <v>2400</v>
      </c>
      <c r="G228" s="1856" t="s">
        <v>3153</v>
      </c>
      <c r="H228" s="1856" t="s">
        <v>28</v>
      </c>
      <c r="I228" s="1856" t="s">
        <v>844</v>
      </c>
    </row>
    <row customHeight="1" ht="11.25">
      <c r="A229" s="1856" t="s">
        <v>2288</v>
      </c>
      <c r="B229" s="1856" t="s">
        <v>16</v>
      </c>
      <c r="C229" s="1856" t="s">
        <v>3154</v>
      </c>
      <c r="D229" s="1856" t="s">
        <v>3155</v>
      </c>
      <c r="E229" s="1856" t="s">
        <v>3156</v>
      </c>
      <c r="F229" s="1856" t="s">
        <v>2400</v>
      </c>
      <c r="G229" s="1856" t="s">
        <v>3157</v>
      </c>
      <c r="H229" s="1856" t="s">
        <v>28</v>
      </c>
      <c r="I229" s="1856" t="s">
        <v>844</v>
      </c>
    </row>
    <row customHeight="1" ht="11.25">
      <c r="A230" s="1856" t="s">
        <v>2288</v>
      </c>
      <c r="B230" s="1856" t="s">
        <v>16</v>
      </c>
      <c r="C230" s="1856" t="s">
        <v>3158</v>
      </c>
      <c r="D230" s="1856" t="s">
        <v>3159</v>
      </c>
      <c r="E230" s="1856" t="s">
        <v>3160</v>
      </c>
      <c r="F230" s="1856" t="s">
        <v>2300</v>
      </c>
      <c r="G230" s="1856" t="s">
        <v>3161</v>
      </c>
      <c r="H230" s="1856" t="s">
        <v>28</v>
      </c>
      <c r="I230" s="1856" t="s">
        <v>844</v>
      </c>
    </row>
    <row customHeight="1" ht="11.25">
      <c r="A231" s="1856" t="s">
        <v>2288</v>
      </c>
      <c r="B231" s="1856" t="s">
        <v>16</v>
      </c>
      <c r="C231" s="1856" t="s">
        <v>3162</v>
      </c>
      <c r="D231" s="1856" t="s">
        <v>3163</v>
      </c>
      <c r="E231" s="1856" t="s">
        <v>3164</v>
      </c>
      <c r="F231" s="1856" t="s">
        <v>2651</v>
      </c>
      <c r="G231" s="1856" t="s">
        <v>3165</v>
      </c>
      <c r="H231" s="1856" t="s">
        <v>28</v>
      </c>
      <c r="I231" s="1856" t="s">
        <v>844</v>
      </c>
    </row>
    <row customHeight="1" ht="11.25">
      <c r="A232" s="1856" t="s">
        <v>2288</v>
      </c>
      <c r="B232" s="1856" t="s">
        <v>16</v>
      </c>
      <c r="C232" s="1856" t="s">
        <v>3166</v>
      </c>
      <c r="D232" s="1856" t="s">
        <v>3167</v>
      </c>
      <c r="E232" s="1856" t="s">
        <v>2425</v>
      </c>
      <c r="F232" s="1856" t="s">
        <v>2376</v>
      </c>
      <c r="G232" s="1856" t="s">
        <v>3168</v>
      </c>
      <c r="H232" s="1856" t="s">
        <v>28</v>
      </c>
      <c r="I232" s="1856" t="s">
        <v>844</v>
      </c>
    </row>
    <row customHeight="1" ht="11.25">
      <c r="A233" s="1856" t="s">
        <v>2288</v>
      </c>
      <c r="B233" s="1856" t="s">
        <v>16</v>
      </c>
      <c r="C233" s="1856" t="s">
        <v>3169</v>
      </c>
      <c r="D233" s="1856" t="s">
        <v>3170</v>
      </c>
      <c r="E233" s="1856" t="s">
        <v>3171</v>
      </c>
      <c r="F233" s="1856" t="s">
        <v>3172</v>
      </c>
      <c r="G233" s="1856" t="s">
        <v>2933</v>
      </c>
      <c r="H233" s="1856" t="s">
        <v>28</v>
      </c>
      <c r="I233" s="1856" t="s">
        <v>844</v>
      </c>
    </row>
    <row customHeight="1" ht="11.25">
      <c r="A234" s="1856" t="s">
        <v>2288</v>
      </c>
      <c r="B234" s="1856" t="s">
        <v>16</v>
      </c>
      <c r="C234" s="1856" t="s">
        <v>3173</v>
      </c>
      <c r="D234" s="1856" t="s">
        <v>3174</v>
      </c>
      <c r="E234" s="1856" t="s">
        <v>3175</v>
      </c>
      <c r="F234" s="1856" t="s">
        <v>2665</v>
      </c>
      <c r="G234" s="1856" t="s">
        <v>3176</v>
      </c>
      <c r="H234" s="1856" t="s">
        <v>28</v>
      </c>
      <c r="I234" s="1856" t="s">
        <v>844</v>
      </c>
    </row>
    <row customHeight="1" ht="11.25">
      <c r="A235" s="1856" t="s">
        <v>2288</v>
      </c>
      <c r="B235" s="1856" t="s">
        <v>16</v>
      </c>
      <c r="C235" s="1856" t="s">
        <v>3177</v>
      </c>
      <c r="D235" s="1856" t="s">
        <v>3178</v>
      </c>
      <c r="E235" s="1856" t="s">
        <v>3179</v>
      </c>
      <c r="F235" s="1856" t="s">
        <v>3180</v>
      </c>
      <c r="G235" s="1856" t="s">
        <v>3181</v>
      </c>
      <c r="H235" s="1856" t="s">
        <v>28</v>
      </c>
      <c r="I235" s="1856" t="s">
        <v>844</v>
      </c>
    </row>
    <row customHeight="1" ht="11.25">
      <c r="A236" s="1856" t="s">
        <v>2288</v>
      </c>
      <c r="B236" s="1856" t="s">
        <v>16</v>
      </c>
      <c r="C236" s="1856" t="s">
        <v>3182</v>
      </c>
      <c r="D236" s="1856" t="s">
        <v>3183</v>
      </c>
      <c r="E236" s="1856" t="s">
        <v>3179</v>
      </c>
      <c r="F236" s="1856" t="s">
        <v>2435</v>
      </c>
      <c r="G236" s="1856" t="s">
        <v>28</v>
      </c>
      <c r="H236" s="1856" t="s">
        <v>28</v>
      </c>
      <c r="I236" s="1856" t="s">
        <v>844</v>
      </c>
    </row>
    <row customHeight="1" ht="11.25">
      <c r="A237" s="1856" t="s">
        <v>2288</v>
      </c>
      <c r="B237" s="1856" t="s">
        <v>16</v>
      </c>
      <c r="C237" s="1856" t="s">
        <v>3184</v>
      </c>
      <c r="D237" s="1856" t="s">
        <v>3185</v>
      </c>
      <c r="E237" s="1856" t="s">
        <v>3179</v>
      </c>
      <c r="F237" s="1856" t="s">
        <v>3186</v>
      </c>
      <c r="G237" s="1856" t="s">
        <v>3187</v>
      </c>
      <c r="H237" s="1856" t="s">
        <v>28</v>
      </c>
      <c r="I237" s="1856" t="s">
        <v>844</v>
      </c>
    </row>
    <row customHeight="1" ht="11.25">
      <c r="A238" s="1856" t="s">
        <v>2288</v>
      </c>
      <c r="B238" s="1856" t="s">
        <v>16</v>
      </c>
      <c r="C238" s="1856" t="s">
        <v>3188</v>
      </c>
      <c r="D238" s="1856" t="s">
        <v>3189</v>
      </c>
      <c r="E238" s="1856" t="s">
        <v>3179</v>
      </c>
      <c r="F238" s="1856" t="s">
        <v>2360</v>
      </c>
      <c r="G238" s="1856" t="s">
        <v>28</v>
      </c>
      <c r="H238" s="1856" t="s">
        <v>28</v>
      </c>
      <c r="I238" s="1856" t="s">
        <v>844</v>
      </c>
    </row>
    <row customHeight="1" ht="11.25">
      <c r="A239" s="1856" t="s">
        <v>2288</v>
      </c>
      <c r="B239" s="1856" t="s">
        <v>16</v>
      </c>
      <c r="C239" s="1856" t="s">
        <v>3190</v>
      </c>
      <c r="D239" s="1856" t="s">
        <v>3191</v>
      </c>
      <c r="E239" s="1856" t="s">
        <v>3179</v>
      </c>
      <c r="F239" s="1856" t="s">
        <v>3192</v>
      </c>
      <c r="G239" s="1856" t="s">
        <v>3187</v>
      </c>
      <c r="H239" s="1856" t="s">
        <v>28</v>
      </c>
      <c r="I239" s="1856" t="s">
        <v>844</v>
      </c>
    </row>
    <row customHeight="1" ht="11.25">
      <c r="A240" s="1856" t="s">
        <v>2288</v>
      </c>
      <c r="B240" s="1856" t="s">
        <v>16</v>
      </c>
      <c r="C240" s="1856" t="s">
        <v>3193</v>
      </c>
      <c r="D240" s="1856" t="s">
        <v>3194</v>
      </c>
      <c r="E240" s="1856" t="s">
        <v>3195</v>
      </c>
      <c r="F240" s="1856" t="s">
        <v>2300</v>
      </c>
      <c r="G240" s="1856" t="s">
        <v>3196</v>
      </c>
      <c r="H240" s="1856" t="s">
        <v>28</v>
      </c>
      <c r="I240" s="1856" t="s">
        <v>844</v>
      </c>
    </row>
    <row customHeight="1" ht="11.25">
      <c r="A241" s="1856" t="s">
        <v>2288</v>
      </c>
      <c r="B241" s="1856" t="s">
        <v>16</v>
      </c>
      <c r="C241" s="1856" t="s">
        <v>3197</v>
      </c>
      <c r="D241" s="1856" t="s">
        <v>3198</v>
      </c>
      <c r="E241" s="1856" t="s">
        <v>3199</v>
      </c>
      <c r="F241" s="1856" t="s">
        <v>2692</v>
      </c>
      <c r="G241" s="1856" t="s">
        <v>3200</v>
      </c>
      <c r="H241" s="1856" t="s">
        <v>28</v>
      </c>
      <c r="I241" s="1856" t="s">
        <v>844</v>
      </c>
    </row>
    <row customHeight="1" ht="11.25">
      <c r="A242" s="1856" t="s">
        <v>2288</v>
      </c>
      <c r="B242" s="1856" t="s">
        <v>16</v>
      </c>
      <c r="C242" s="1856" t="s">
        <v>3201</v>
      </c>
      <c r="D242" s="1856" t="s">
        <v>3202</v>
      </c>
      <c r="E242" s="1856" t="s">
        <v>3203</v>
      </c>
      <c r="F242" s="1856" t="s">
        <v>2665</v>
      </c>
      <c r="G242" s="1856" t="s">
        <v>3204</v>
      </c>
      <c r="H242" s="1856" t="s">
        <v>28</v>
      </c>
      <c r="I242" s="1856" t="s">
        <v>844</v>
      </c>
    </row>
    <row customHeight="1" ht="11.25">
      <c r="A243" s="1856" t="s">
        <v>2288</v>
      </c>
      <c r="B243" s="1856" t="s">
        <v>16</v>
      </c>
      <c r="C243" s="1856" t="s">
        <v>3205</v>
      </c>
      <c r="D243" s="1856" t="s">
        <v>3206</v>
      </c>
      <c r="E243" s="1856" t="s">
        <v>3207</v>
      </c>
      <c r="F243" s="1856" t="s">
        <v>3121</v>
      </c>
      <c r="G243" s="1856" t="s">
        <v>28</v>
      </c>
      <c r="H243" s="1856" t="s">
        <v>28</v>
      </c>
      <c r="I243" s="1856" t="s">
        <v>844</v>
      </c>
    </row>
    <row customHeight="1" ht="11.25">
      <c r="A244" s="1856" t="s">
        <v>2288</v>
      </c>
      <c r="B244" s="1856" t="s">
        <v>16</v>
      </c>
      <c r="C244" s="1856" t="s">
        <v>3208</v>
      </c>
      <c r="D244" s="1856" t="s">
        <v>3209</v>
      </c>
      <c r="E244" s="1856" t="s">
        <v>3210</v>
      </c>
      <c r="F244" s="1856" t="s">
        <v>2300</v>
      </c>
      <c r="G244" s="1856" t="s">
        <v>3211</v>
      </c>
      <c r="H244" s="1856" t="s">
        <v>28</v>
      </c>
      <c r="I244" s="1856" t="s">
        <v>844</v>
      </c>
    </row>
    <row customHeight="1" ht="11.25">
      <c r="A245" s="1856" t="s">
        <v>2288</v>
      </c>
      <c r="B245" s="1856" t="s">
        <v>16</v>
      </c>
      <c r="C245" s="1856" t="s">
        <v>3212</v>
      </c>
      <c r="D245" s="1856" t="s">
        <v>3213</v>
      </c>
      <c r="E245" s="1856" t="s">
        <v>3214</v>
      </c>
      <c r="F245" s="1856" t="s">
        <v>3215</v>
      </c>
      <c r="G245" s="1856" t="s">
        <v>3216</v>
      </c>
      <c r="H245" s="1856" t="s">
        <v>28</v>
      </c>
      <c r="I245" s="1856" t="s">
        <v>844</v>
      </c>
    </row>
    <row customHeight="1" ht="11.25">
      <c r="A246" s="1856" t="s">
        <v>2288</v>
      </c>
      <c r="B246" s="1856" t="s">
        <v>16</v>
      </c>
      <c r="C246" s="1856" t="s">
        <v>3217</v>
      </c>
      <c r="D246" s="1856" t="s">
        <v>3218</v>
      </c>
      <c r="E246" s="1856" t="s">
        <v>3219</v>
      </c>
      <c r="F246" s="1856" t="s">
        <v>2665</v>
      </c>
      <c r="G246" s="1856" t="s">
        <v>3220</v>
      </c>
      <c r="H246" s="1856" t="s">
        <v>28</v>
      </c>
      <c r="I246" s="1856" t="s">
        <v>844</v>
      </c>
    </row>
    <row customHeight="1" ht="11.25">
      <c r="A247" s="1856" t="s">
        <v>2288</v>
      </c>
      <c r="B247" s="1856" t="s">
        <v>16</v>
      </c>
      <c r="C247" s="1856" t="s">
        <v>3221</v>
      </c>
      <c r="D247" s="1856" t="s">
        <v>3222</v>
      </c>
      <c r="E247" s="1856" t="s">
        <v>3214</v>
      </c>
      <c r="F247" s="1856" t="s">
        <v>2483</v>
      </c>
      <c r="G247" s="1856" t="s">
        <v>3223</v>
      </c>
      <c r="H247" s="1856" t="s">
        <v>28</v>
      </c>
      <c r="I247" s="1856" t="s">
        <v>844</v>
      </c>
    </row>
    <row customHeight="1" ht="11.25">
      <c r="A248" s="1856" t="s">
        <v>2288</v>
      </c>
      <c r="B248" s="1856" t="s">
        <v>16</v>
      </c>
      <c r="C248" s="1856" t="s">
        <v>3224</v>
      </c>
      <c r="D248" s="1856" t="s">
        <v>3225</v>
      </c>
      <c r="E248" s="1856" t="s">
        <v>2425</v>
      </c>
      <c r="F248" s="1856" t="s">
        <v>3226</v>
      </c>
      <c r="G248" s="1856" t="s">
        <v>2436</v>
      </c>
      <c r="H248" s="1856" t="s">
        <v>28</v>
      </c>
      <c r="I248" s="1856" t="s">
        <v>844</v>
      </c>
    </row>
    <row customHeight="1" ht="11.25">
      <c r="A249" s="1856" t="s">
        <v>2288</v>
      </c>
      <c r="B249" s="1856" t="s">
        <v>16</v>
      </c>
      <c r="C249" s="1856" t="s">
        <v>3227</v>
      </c>
      <c r="D249" s="1856" t="s">
        <v>3228</v>
      </c>
      <c r="E249" s="1856" t="s">
        <v>2425</v>
      </c>
      <c r="F249" s="1856" t="s">
        <v>3229</v>
      </c>
      <c r="G249" s="1856" t="s">
        <v>2436</v>
      </c>
      <c r="H249" s="1856" t="s">
        <v>28</v>
      </c>
      <c r="I249" s="1856" t="s">
        <v>844</v>
      </c>
    </row>
    <row customHeight="1" ht="11.25">
      <c r="A250" s="1856" t="s">
        <v>2288</v>
      </c>
      <c r="B250" s="1856" t="s">
        <v>16</v>
      </c>
      <c r="C250" s="1856" t="s">
        <v>3230</v>
      </c>
      <c r="D250" s="1856" t="s">
        <v>3231</v>
      </c>
      <c r="E250" s="1856" t="s">
        <v>3232</v>
      </c>
      <c r="F250" s="1856" t="s">
        <v>2300</v>
      </c>
      <c r="G250" s="1856" t="s">
        <v>3233</v>
      </c>
      <c r="H250" s="1856" t="s">
        <v>28</v>
      </c>
      <c r="I250" s="1856" t="s">
        <v>844</v>
      </c>
    </row>
    <row customHeight="1" ht="11.25">
      <c r="A251" s="1856" t="s">
        <v>2288</v>
      </c>
      <c r="B251" s="1856" t="s">
        <v>16</v>
      </c>
      <c r="C251" s="1856" t="s">
        <v>3234</v>
      </c>
      <c r="D251" s="1856" t="s">
        <v>3235</v>
      </c>
      <c r="E251" s="1856" t="s">
        <v>3236</v>
      </c>
      <c r="F251" s="1856" t="s">
        <v>2651</v>
      </c>
      <c r="G251" s="1856" t="s">
        <v>28</v>
      </c>
      <c r="H251" s="1856" t="s">
        <v>28</v>
      </c>
      <c r="I251" s="1856" t="s">
        <v>844</v>
      </c>
    </row>
    <row customHeight="1" ht="11.25">
      <c r="A252" s="1856" t="s">
        <v>2288</v>
      </c>
      <c r="B252" s="1856" t="s">
        <v>16</v>
      </c>
      <c r="C252" s="1856" t="s">
        <v>3237</v>
      </c>
      <c r="D252" s="1856" t="s">
        <v>3238</v>
      </c>
      <c r="E252" s="1856" t="s">
        <v>2547</v>
      </c>
      <c r="F252" s="1856" t="s">
        <v>3239</v>
      </c>
      <c r="G252" s="1856" t="s">
        <v>3240</v>
      </c>
      <c r="H252" s="1856" t="s">
        <v>28</v>
      </c>
      <c r="I252" s="1856" t="s">
        <v>844</v>
      </c>
    </row>
    <row customHeight="1" ht="11.25">
      <c r="A253" s="1856" t="s">
        <v>2288</v>
      </c>
      <c r="B253" s="1856" t="s">
        <v>16</v>
      </c>
      <c r="C253" s="1856" t="s">
        <v>3241</v>
      </c>
      <c r="D253" s="1856" t="s">
        <v>3242</v>
      </c>
      <c r="E253" s="1856" t="s">
        <v>3243</v>
      </c>
      <c r="F253" s="1856" t="s">
        <v>2300</v>
      </c>
      <c r="G253" s="1856" t="s">
        <v>3244</v>
      </c>
      <c r="H253" s="1856" t="s">
        <v>28</v>
      </c>
      <c r="I253" s="1856" t="s">
        <v>844</v>
      </c>
    </row>
    <row customHeight="1" ht="11.25">
      <c r="A254" s="1856" t="s">
        <v>2288</v>
      </c>
      <c r="B254" s="1856" t="s">
        <v>16</v>
      </c>
      <c r="C254" s="1856" t="s">
        <v>3245</v>
      </c>
      <c r="D254" s="1856" t="s">
        <v>3246</v>
      </c>
      <c r="E254" s="1856" t="s">
        <v>3243</v>
      </c>
      <c r="F254" s="1856" t="s">
        <v>2646</v>
      </c>
      <c r="G254" s="1856" t="s">
        <v>28</v>
      </c>
      <c r="H254" s="1856" t="s">
        <v>28</v>
      </c>
      <c r="I254" s="1856" t="s">
        <v>844</v>
      </c>
    </row>
    <row customHeight="1" ht="11.25">
      <c r="A255" s="1856" t="s">
        <v>2288</v>
      </c>
      <c r="B255" s="1856" t="s">
        <v>16</v>
      </c>
      <c r="C255" s="1856" t="s">
        <v>3247</v>
      </c>
      <c r="D255" s="1856" t="s">
        <v>3248</v>
      </c>
      <c r="E255" s="1856" t="s">
        <v>3243</v>
      </c>
      <c r="F255" s="1856" t="s">
        <v>3249</v>
      </c>
      <c r="G255" s="1856" t="s">
        <v>28</v>
      </c>
      <c r="H255" s="1856" t="s">
        <v>28</v>
      </c>
      <c r="I255" s="1856" t="s">
        <v>844</v>
      </c>
    </row>
    <row customHeight="1" ht="11.25">
      <c r="A256" s="1856" t="s">
        <v>2288</v>
      </c>
      <c r="B256" s="1856" t="s">
        <v>16</v>
      </c>
      <c r="C256" s="1856" t="s">
        <v>3250</v>
      </c>
      <c r="D256" s="1856" t="s">
        <v>3251</v>
      </c>
      <c r="E256" s="1856" t="s">
        <v>3243</v>
      </c>
      <c r="F256" s="1856" t="s">
        <v>3252</v>
      </c>
      <c r="G256" s="1856" t="s">
        <v>3253</v>
      </c>
      <c r="H256" s="1856" t="s">
        <v>28</v>
      </c>
      <c r="I256" s="1856" t="s">
        <v>844</v>
      </c>
    </row>
    <row customHeight="1" ht="11.25">
      <c r="A257" s="1856" t="s">
        <v>2288</v>
      </c>
      <c r="B257" s="1856" t="s">
        <v>16</v>
      </c>
      <c r="C257" s="1856" t="s">
        <v>3254</v>
      </c>
      <c r="D257" s="1856" t="s">
        <v>3255</v>
      </c>
      <c r="E257" s="1856" t="s">
        <v>3256</v>
      </c>
      <c r="F257" s="1856" t="s">
        <v>2300</v>
      </c>
      <c r="G257" s="1856" t="s">
        <v>3257</v>
      </c>
      <c r="H257" s="1856" t="s">
        <v>28</v>
      </c>
      <c r="I257" s="1856" t="s">
        <v>844</v>
      </c>
    </row>
    <row customHeight="1" ht="11.25">
      <c r="A258" s="1856" t="s">
        <v>2288</v>
      </c>
      <c r="B258" s="1856" t="s">
        <v>16</v>
      </c>
      <c r="C258" s="1856" t="s">
        <v>3258</v>
      </c>
      <c r="D258" s="1856" t="s">
        <v>3259</v>
      </c>
      <c r="E258" s="1856" t="s">
        <v>3260</v>
      </c>
      <c r="F258" s="1856" t="s">
        <v>3261</v>
      </c>
      <c r="G258" s="1856" t="s">
        <v>3262</v>
      </c>
      <c r="H258" s="1856" t="s">
        <v>28</v>
      </c>
      <c r="I258" s="1856" t="s">
        <v>844</v>
      </c>
    </row>
    <row customHeight="1" ht="11.25">
      <c r="A259" s="1856" t="s">
        <v>2288</v>
      </c>
      <c r="B259" s="1856" t="s">
        <v>16</v>
      </c>
      <c r="C259" s="1856" t="s">
        <v>3263</v>
      </c>
      <c r="D259" s="1856" t="s">
        <v>3264</v>
      </c>
      <c r="E259" s="1856" t="s">
        <v>2430</v>
      </c>
      <c r="F259" s="1856" t="s">
        <v>2400</v>
      </c>
      <c r="G259" s="1856" t="s">
        <v>2432</v>
      </c>
      <c r="H259" s="1856" t="s">
        <v>28</v>
      </c>
      <c r="I259" s="1856" t="s">
        <v>844</v>
      </c>
    </row>
    <row customHeight="1" ht="11.25">
      <c r="A260" s="1856" t="s">
        <v>2288</v>
      </c>
      <c r="B260" s="1856" t="s">
        <v>16</v>
      </c>
      <c r="C260" s="1856" t="s">
        <v>3265</v>
      </c>
      <c r="D260" s="1856" t="s">
        <v>3266</v>
      </c>
      <c r="E260" s="1856" t="s">
        <v>2291</v>
      </c>
      <c r="F260" s="1856" t="s">
        <v>2300</v>
      </c>
      <c r="G260" s="1856" t="s">
        <v>2414</v>
      </c>
      <c r="H260" s="1856" t="s">
        <v>28</v>
      </c>
      <c r="I260" s="1856" t="s">
        <v>844</v>
      </c>
    </row>
    <row customHeight="1" ht="11.25">
      <c r="A261" s="1856" t="s">
        <v>2288</v>
      </c>
      <c r="B261" s="1856" t="s">
        <v>16</v>
      </c>
      <c r="C261" s="1856" t="s">
        <v>2294</v>
      </c>
      <c r="D261" s="1856" t="s">
        <v>2295</v>
      </c>
      <c r="E261" s="1856" t="s">
        <v>2291</v>
      </c>
      <c r="F261" s="1856" t="s">
        <v>2296</v>
      </c>
      <c r="G261" s="1856" t="s">
        <v>2293</v>
      </c>
      <c r="H261" s="1856" t="s">
        <v>28</v>
      </c>
      <c r="I261" s="1856" t="s">
        <v>930</v>
      </c>
    </row>
    <row customHeight="1" ht="11.25">
      <c r="A262" s="1856" t="s">
        <v>2288</v>
      </c>
      <c r="B262" s="1856" t="s">
        <v>16</v>
      </c>
      <c r="C262" s="1856" t="s">
        <v>2302</v>
      </c>
      <c r="D262" s="1856" t="s">
        <v>2303</v>
      </c>
      <c r="E262" s="1856" t="s">
        <v>2304</v>
      </c>
      <c r="F262" s="1856" t="s">
        <v>2305</v>
      </c>
      <c r="G262" s="1856" t="s">
        <v>28</v>
      </c>
      <c r="H262" s="1856" t="s">
        <v>28</v>
      </c>
      <c r="I262" s="1856" t="s">
        <v>930</v>
      </c>
    </row>
    <row customHeight="1" ht="11.25">
      <c r="A263" s="1856" t="s">
        <v>2288</v>
      </c>
      <c r="B263" s="1856" t="s">
        <v>16</v>
      </c>
      <c r="C263" s="1856" t="s">
        <v>2306</v>
      </c>
      <c r="D263" s="1856" t="s">
        <v>2303</v>
      </c>
      <c r="E263" s="1856" t="s">
        <v>2304</v>
      </c>
      <c r="F263" s="1856" t="s">
        <v>2307</v>
      </c>
      <c r="G263" s="1856" t="s">
        <v>28</v>
      </c>
      <c r="H263" s="1856" t="s">
        <v>28</v>
      </c>
      <c r="I263" s="1856" t="s">
        <v>930</v>
      </c>
    </row>
    <row customHeight="1" ht="11.25">
      <c r="A264" s="1856" t="s">
        <v>2288</v>
      </c>
      <c r="B264" s="1856" t="s">
        <v>16</v>
      </c>
      <c r="C264" s="1856" t="s">
        <v>2308</v>
      </c>
      <c r="D264" s="1856" t="s">
        <v>2309</v>
      </c>
      <c r="E264" s="1856" t="s">
        <v>2310</v>
      </c>
      <c r="F264" s="1856" t="s">
        <v>2300</v>
      </c>
      <c r="G264" s="1856" t="s">
        <v>2311</v>
      </c>
      <c r="H264" s="1856" t="s">
        <v>28</v>
      </c>
      <c r="I264" s="1856" t="s">
        <v>930</v>
      </c>
    </row>
    <row customHeight="1" ht="11.25">
      <c r="A265" s="1856" t="s">
        <v>2288</v>
      </c>
      <c r="B265" s="1856" t="s">
        <v>16</v>
      </c>
      <c r="C265" s="1856" t="s">
        <v>2325</v>
      </c>
      <c r="D265" s="1856" t="s">
        <v>2326</v>
      </c>
      <c r="E265" s="1856" t="s">
        <v>2327</v>
      </c>
      <c r="F265" s="1856" t="s">
        <v>2328</v>
      </c>
      <c r="G265" s="1856" t="s">
        <v>2329</v>
      </c>
      <c r="H265" s="1856" t="s">
        <v>28</v>
      </c>
      <c r="I265" s="1856" t="s">
        <v>930</v>
      </c>
    </row>
    <row customHeight="1" ht="11.25">
      <c r="A266" s="1856" t="s">
        <v>2288</v>
      </c>
      <c r="B266" s="1856" t="s">
        <v>16</v>
      </c>
      <c r="C266" s="1856" t="s">
        <v>2335</v>
      </c>
      <c r="D266" s="1856" t="s">
        <v>2336</v>
      </c>
      <c r="E266" s="1856" t="s">
        <v>2337</v>
      </c>
      <c r="F266" s="1856" t="s">
        <v>2338</v>
      </c>
      <c r="G266" s="1856" t="s">
        <v>2339</v>
      </c>
      <c r="H266" s="1856" t="s">
        <v>28</v>
      </c>
      <c r="I266" s="1856" t="s">
        <v>930</v>
      </c>
    </row>
    <row customHeight="1" ht="11.25">
      <c r="A267" s="1856" t="s">
        <v>2288</v>
      </c>
      <c r="B267" s="1856" t="s">
        <v>16</v>
      </c>
      <c r="C267" s="1856" t="s">
        <v>2346</v>
      </c>
      <c r="D267" s="1856" t="s">
        <v>2347</v>
      </c>
      <c r="E267" s="1856" t="s">
        <v>2337</v>
      </c>
      <c r="F267" s="1856" t="s">
        <v>2348</v>
      </c>
      <c r="G267" s="1856" t="s">
        <v>2339</v>
      </c>
      <c r="H267" s="1856" t="s">
        <v>28</v>
      </c>
      <c r="I267" s="1856" t="s">
        <v>930</v>
      </c>
    </row>
    <row customHeight="1" ht="11.25">
      <c r="A268" s="1856" t="s">
        <v>2288</v>
      </c>
      <c r="B268" s="1856" t="s">
        <v>16</v>
      </c>
      <c r="C268" s="1856" t="s">
        <v>2349</v>
      </c>
      <c r="D268" s="1856" t="s">
        <v>2350</v>
      </c>
      <c r="E268" s="1856" t="s">
        <v>2337</v>
      </c>
      <c r="F268" s="1856" t="s">
        <v>2351</v>
      </c>
      <c r="G268" s="1856" t="s">
        <v>2339</v>
      </c>
      <c r="H268" s="1856" t="s">
        <v>28</v>
      </c>
      <c r="I268" s="1856" t="s">
        <v>930</v>
      </c>
    </row>
    <row customHeight="1" ht="11.25">
      <c r="A269" s="1856" t="s">
        <v>2288</v>
      </c>
      <c r="B269" s="1856" t="s">
        <v>16</v>
      </c>
      <c r="C269" s="1856" t="s">
        <v>2352</v>
      </c>
      <c r="D269" s="1856" t="s">
        <v>2353</v>
      </c>
      <c r="E269" s="1856" t="s">
        <v>2337</v>
      </c>
      <c r="F269" s="1856" t="s">
        <v>2354</v>
      </c>
      <c r="G269" s="1856" t="s">
        <v>2339</v>
      </c>
      <c r="H269" s="1856" t="s">
        <v>28</v>
      </c>
      <c r="I269" s="1856" t="s">
        <v>930</v>
      </c>
    </row>
    <row customHeight="1" ht="11.25">
      <c r="A270" s="1856" t="s">
        <v>2288</v>
      </c>
      <c r="B270" s="1856" t="s">
        <v>16</v>
      </c>
      <c r="C270" s="1856" t="s">
        <v>2355</v>
      </c>
      <c r="D270" s="1856" t="s">
        <v>2356</v>
      </c>
      <c r="E270" s="1856" t="s">
        <v>2337</v>
      </c>
      <c r="F270" s="1856" t="s">
        <v>2357</v>
      </c>
      <c r="G270" s="1856" t="s">
        <v>2339</v>
      </c>
      <c r="H270" s="1856" t="s">
        <v>28</v>
      </c>
      <c r="I270" s="1856" t="s">
        <v>930</v>
      </c>
    </row>
    <row customHeight="1" ht="11.25">
      <c r="A271" s="1856" t="s">
        <v>2288</v>
      </c>
      <c r="B271" s="1856" t="s">
        <v>16</v>
      </c>
      <c r="C271" s="1856" t="s">
        <v>2361</v>
      </c>
      <c r="D271" s="1856" t="s">
        <v>2362</v>
      </c>
      <c r="E271" s="1856" t="s">
        <v>2363</v>
      </c>
      <c r="F271" s="1856" t="s">
        <v>2338</v>
      </c>
      <c r="G271" s="1856" t="s">
        <v>2364</v>
      </c>
      <c r="H271" s="1856" t="s">
        <v>28</v>
      </c>
      <c r="I271" s="1856" t="s">
        <v>930</v>
      </c>
    </row>
    <row customHeight="1" ht="11.25">
      <c r="A272" s="1856" t="s">
        <v>2288</v>
      </c>
      <c r="B272" s="1856" t="s">
        <v>16</v>
      </c>
      <c r="C272" s="1856" t="s">
        <v>2368</v>
      </c>
      <c r="D272" s="1856" t="s">
        <v>2369</v>
      </c>
      <c r="E272" s="1856" t="s">
        <v>2363</v>
      </c>
      <c r="F272" s="1856" t="s">
        <v>2370</v>
      </c>
      <c r="G272" s="1856" t="s">
        <v>2364</v>
      </c>
      <c r="H272" s="1856" t="s">
        <v>28</v>
      </c>
      <c r="I272" s="1856" t="s">
        <v>930</v>
      </c>
    </row>
    <row customHeight="1" ht="11.25">
      <c r="A273" s="1856" t="s">
        <v>2288</v>
      </c>
      <c r="B273" s="1856" t="s">
        <v>16</v>
      </c>
      <c r="C273" s="1856" t="s">
        <v>2374</v>
      </c>
      <c r="D273" s="1856" t="s">
        <v>2375</v>
      </c>
      <c r="E273" s="1856" t="s">
        <v>2363</v>
      </c>
      <c r="F273" s="1856" t="s">
        <v>2376</v>
      </c>
      <c r="G273" s="1856" t="s">
        <v>2364</v>
      </c>
      <c r="H273" s="1856" t="s">
        <v>28</v>
      </c>
      <c r="I273" s="1856" t="s">
        <v>930</v>
      </c>
    </row>
    <row customHeight="1" ht="11.25">
      <c r="A274" s="1856" t="s">
        <v>2288</v>
      </c>
      <c r="B274" s="1856" t="s">
        <v>16</v>
      </c>
      <c r="C274" s="1856" t="s">
        <v>2377</v>
      </c>
      <c r="D274" s="1856" t="s">
        <v>2378</v>
      </c>
      <c r="E274" s="1856" t="s">
        <v>2363</v>
      </c>
      <c r="F274" s="1856" t="s">
        <v>2379</v>
      </c>
      <c r="G274" s="1856" t="s">
        <v>2364</v>
      </c>
      <c r="H274" s="1856" t="s">
        <v>28</v>
      </c>
      <c r="I274" s="1856" t="s">
        <v>930</v>
      </c>
    </row>
    <row customHeight="1" ht="11.25">
      <c r="A275" s="1856" t="s">
        <v>2288</v>
      </c>
      <c r="B275" s="1856" t="s">
        <v>16</v>
      </c>
      <c r="C275" s="1856" t="s">
        <v>2380</v>
      </c>
      <c r="D275" s="1856" t="s">
        <v>2381</v>
      </c>
      <c r="E275" s="1856" t="s">
        <v>2363</v>
      </c>
      <c r="F275" s="1856" t="s">
        <v>2382</v>
      </c>
      <c r="G275" s="1856" t="s">
        <v>2364</v>
      </c>
      <c r="H275" s="1856" t="s">
        <v>28</v>
      </c>
      <c r="I275" s="1856" t="s">
        <v>930</v>
      </c>
    </row>
    <row customHeight="1" ht="11.25">
      <c r="A276" s="1856" t="s">
        <v>2288</v>
      </c>
      <c r="B276" s="1856" t="s">
        <v>16</v>
      </c>
      <c r="C276" s="1856" t="s">
        <v>2383</v>
      </c>
      <c r="D276" s="1856" t="s">
        <v>2384</v>
      </c>
      <c r="E276" s="1856" t="s">
        <v>2363</v>
      </c>
      <c r="F276" s="1856" t="s">
        <v>2385</v>
      </c>
      <c r="G276" s="1856" t="s">
        <v>2364</v>
      </c>
      <c r="H276" s="1856" t="s">
        <v>28</v>
      </c>
      <c r="I276" s="1856" t="s">
        <v>930</v>
      </c>
    </row>
    <row customHeight="1" ht="11.25">
      <c r="A277" s="1856" t="s">
        <v>2288</v>
      </c>
      <c r="B277" s="1856" t="s">
        <v>16</v>
      </c>
      <c r="C277" s="1856" t="s">
        <v>2386</v>
      </c>
      <c r="D277" s="1856" t="s">
        <v>2387</v>
      </c>
      <c r="E277" s="1856" t="s">
        <v>2363</v>
      </c>
      <c r="F277" s="1856" t="s">
        <v>2354</v>
      </c>
      <c r="G277" s="1856" t="s">
        <v>2364</v>
      </c>
      <c r="H277" s="1856" t="s">
        <v>28</v>
      </c>
      <c r="I277" s="1856" t="s">
        <v>930</v>
      </c>
    </row>
    <row customHeight="1" ht="11.25">
      <c r="A278" s="1856" t="s">
        <v>2288</v>
      </c>
      <c r="B278" s="1856" t="s">
        <v>16</v>
      </c>
      <c r="C278" s="1856" t="s">
        <v>2393</v>
      </c>
      <c r="D278" s="1856" t="s">
        <v>2394</v>
      </c>
      <c r="E278" s="1856" t="s">
        <v>2395</v>
      </c>
      <c r="F278" s="1856" t="s">
        <v>2300</v>
      </c>
      <c r="G278" s="1856" t="s">
        <v>2396</v>
      </c>
      <c r="H278" s="1856" t="s">
        <v>28</v>
      </c>
      <c r="I278" s="1856" t="s">
        <v>930</v>
      </c>
    </row>
    <row customHeight="1" ht="11.25">
      <c r="A279" s="1856" t="s">
        <v>2288</v>
      </c>
      <c r="B279" s="1856" t="s">
        <v>16</v>
      </c>
      <c r="C279" s="1856" t="s">
        <v>2397</v>
      </c>
      <c r="D279" s="1856" t="s">
        <v>2398</v>
      </c>
      <c r="E279" s="1856" t="s">
        <v>2399</v>
      </c>
      <c r="F279" s="1856" t="s">
        <v>2400</v>
      </c>
      <c r="G279" s="1856" t="s">
        <v>2401</v>
      </c>
      <c r="H279" s="1856" t="s">
        <v>28</v>
      </c>
      <c r="I279" s="1856" t="s">
        <v>930</v>
      </c>
    </row>
    <row customHeight="1" ht="11.25">
      <c r="A280" s="1856" t="s">
        <v>2288</v>
      </c>
      <c r="B280" s="1856" t="s">
        <v>16</v>
      </c>
      <c r="C280" s="1856" t="s">
        <v>13</v>
      </c>
      <c r="D280" s="1856" t="s">
        <v>48</v>
      </c>
      <c r="E280" s="1856" t="s">
        <v>51</v>
      </c>
      <c r="F280" s="1856" t="s">
        <v>53</v>
      </c>
      <c r="G280" s="1856" t="s">
        <v>2315</v>
      </c>
      <c r="H280" s="1856" t="s">
        <v>28</v>
      </c>
      <c r="I280" s="1856" t="s">
        <v>930</v>
      </c>
    </row>
    <row customHeight="1" ht="11.25">
      <c r="A281" s="1856" t="s">
        <v>2288</v>
      </c>
      <c r="B281" s="1856" t="s">
        <v>16</v>
      </c>
      <c r="C281" s="1856" t="s">
        <v>2415</v>
      </c>
      <c r="D281" s="1856" t="s">
        <v>2416</v>
      </c>
      <c r="E281" s="1856" t="s">
        <v>2417</v>
      </c>
      <c r="F281" s="1856" t="s">
        <v>2300</v>
      </c>
      <c r="G281" s="1856" t="s">
        <v>2418</v>
      </c>
      <c r="H281" s="1856" t="s">
        <v>28</v>
      </c>
      <c r="I281" s="1856" t="s">
        <v>930</v>
      </c>
    </row>
    <row customHeight="1" ht="11.25">
      <c r="A282" s="1856" t="s">
        <v>2288</v>
      </c>
      <c r="B282" s="1856" t="s">
        <v>16</v>
      </c>
      <c r="C282" s="1856" t="s">
        <v>2419</v>
      </c>
      <c r="D282" s="1856" t="s">
        <v>2420</v>
      </c>
      <c r="E282" s="1856" t="s">
        <v>2421</v>
      </c>
      <c r="F282" s="1856" t="s">
        <v>2400</v>
      </c>
      <c r="G282" s="1856" t="s">
        <v>2422</v>
      </c>
      <c r="H282" s="1856" t="s">
        <v>28</v>
      </c>
      <c r="I282" s="1856" t="s">
        <v>930</v>
      </c>
    </row>
    <row customHeight="1" ht="11.25">
      <c r="A283" s="1856" t="s">
        <v>2288</v>
      </c>
      <c r="B283" s="1856" t="s">
        <v>16</v>
      </c>
      <c r="C283" s="1856" t="s">
        <v>2423</v>
      </c>
      <c r="D283" s="1856" t="s">
        <v>2424</v>
      </c>
      <c r="E283" s="1856" t="s">
        <v>2425</v>
      </c>
      <c r="F283" s="1856" t="s">
        <v>2426</v>
      </c>
      <c r="G283" s="1856" t="s">
        <v>2427</v>
      </c>
      <c r="H283" s="1856" t="s">
        <v>28</v>
      </c>
      <c r="I283" s="1856" t="s">
        <v>930</v>
      </c>
    </row>
    <row customHeight="1" ht="11.25">
      <c r="A284" s="1856" t="s">
        <v>2288</v>
      </c>
      <c r="B284" s="1856" t="s">
        <v>16</v>
      </c>
      <c r="C284" s="1856" t="s">
        <v>2428</v>
      </c>
      <c r="D284" s="1856" t="s">
        <v>2429</v>
      </c>
      <c r="E284" s="1856" t="s">
        <v>2430</v>
      </c>
      <c r="F284" s="1856" t="s">
        <v>2431</v>
      </c>
      <c r="G284" s="1856" t="s">
        <v>2432</v>
      </c>
      <c r="H284" s="1856" t="s">
        <v>28</v>
      </c>
      <c r="I284" s="1856" t="s">
        <v>930</v>
      </c>
    </row>
    <row customHeight="1" ht="11.25">
      <c r="A285" s="1856" t="s">
        <v>2288</v>
      </c>
      <c r="B285" s="1856" t="s">
        <v>16</v>
      </c>
      <c r="C285" s="1856" t="s">
        <v>2433</v>
      </c>
      <c r="D285" s="1856" t="s">
        <v>2434</v>
      </c>
      <c r="E285" s="1856" t="s">
        <v>2425</v>
      </c>
      <c r="F285" s="1856" t="s">
        <v>2435</v>
      </c>
      <c r="G285" s="1856" t="s">
        <v>2436</v>
      </c>
      <c r="H285" s="1856" t="s">
        <v>28</v>
      </c>
      <c r="I285" s="1856" t="s">
        <v>930</v>
      </c>
    </row>
    <row customHeight="1" ht="11.25">
      <c r="A286" s="1856" t="s">
        <v>2288</v>
      </c>
      <c r="B286" s="1856" t="s">
        <v>16</v>
      </c>
      <c r="C286" s="1856" t="s">
        <v>2437</v>
      </c>
      <c r="D286" s="1856" t="s">
        <v>2438</v>
      </c>
      <c r="E286" s="1856" t="s">
        <v>2439</v>
      </c>
      <c r="F286" s="1856" t="s">
        <v>2300</v>
      </c>
      <c r="G286" s="1856" t="s">
        <v>2440</v>
      </c>
      <c r="H286" s="1856" t="s">
        <v>28</v>
      </c>
      <c r="I286" s="1856" t="s">
        <v>930</v>
      </c>
    </row>
    <row customHeight="1" ht="11.25">
      <c r="A287" s="1856" t="s">
        <v>2288</v>
      </c>
      <c r="B287" s="1856" t="s">
        <v>16</v>
      </c>
      <c r="C287" s="1856" t="s">
        <v>2441</v>
      </c>
      <c r="D287" s="1856" t="s">
        <v>2442</v>
      </c>
      <c r="E287" s="1856" t="s">
        <v>2443</v>
      </c>
      <c r="F287" s="1856" t="s">
        <v>2400</v>
      </c>
      <c r="G287" s="1856" t="s">
        <v>2444</v>
      </c>
      <c r="H287" s="1856" t="s">
        <v>28</v>
      </c>
      <c r="I287" s="1856" t="s">
        <v>930</v>
      </c>
    </row>
    <row customHeight="1" ht="11.25">
      <c r="A288" s="1856" t="s">
        <v>2288</v>
      </c>
      <c r="B288" s="1856" t="s">
        <v>16</v>
      </c>
      <c r="C288" s="1856" t="s">
        <v>28</v>
      </c>
      <c r="D288" s="1856" t="s">
        <v>2453</v>
      </c>
      <c r="E288" s="1856" t="s">
        <v>2454</v>
      </c>
      <c r="F288" s="1856" t="s">
        <v>2300</v>
      </c>
      <c r="G288" s="1856" t="s">
        <v>28</v>
      </c>
      <c r="H288" s="1856" t="s">
        <v>28</v>
      </c>
      <c r="I288" s="1856" t="s">
        <v>930</v>
      </c>
    </row>
    <row customHeight="1" ht="11.25">
      <c r="A289" s="1856" t="s">
        <v>2288</v>
      </c>
      <c r="B289" s="1856" t="s">
        <v>16</v>
      </c>
      <c r="C289" s="1856" t="s">
        <v>2455</v>
      </c>
      <c r="D289" s="1856" t="s">
        <v>2456</v>
      </c>
      <c r="E289" s="1856" t="s">
        <v>2457</v>
      </c>
      <c r="F289" s="1856" t="s">
        <v>2300</v>
      </c>
      <c r="G289" s="1856" t="s">
        <v>2458</v>
      </c>
      <c r="H289" s="1856" t="s">
        <v>28</v>
      </c>
      <c r="I289" s="1856" t="s">
        <v>930</v>
      </c>
    </row>
    <row customHeight="1" ht="11.25">
      <c r="A290" s="1856" t="s">
        <v>2288</v>
      </c>
      <c r="B290" s="1856" t="s">
        <v>16</v>
      </c>
      <c r="C290" s="1856" t="s">
        <v>2459</v>
      </c>
      <c r="D290" s="1856" t="s">
        <v>2460</v>
      </c>
      <c r="E290" s="1856" t="s">
        <v>2457</v>
      </c>
      <c r="F290" s="1856" t="s">
        <v>2338</v>
      </c>
      <c r="G290" s="1856" t="s">
        <v>2458</v>
      </c>
      <c r="H290" s="1856" t="s">
        <v>28</v>
      </c>
      <c r="I290" s="1856" t="s">
        <v>930</v>
      </c>
    </row>
    <row customHeight="1" ht="11.25">
      <c r="A291" s="1856" t="s">
        <v>2288</v>
      </c>
      <c r="B291" s="1856" t="s">
        <v>16</v>
      </c>
      <c r="C291" s="1856" t="s">
        <v>2461</v>
      </c>
      <c r="D291" s="1856" t="s">
        <v>2462</v>
      </c>
      <c r="E291" s="1856" t="s">
        <v>2457</v>
      </c>
      <c r="F291" s="1856" t="s">
        <v>2385</v>
      </c>
      <c r="G291" s="1856" t="s">
        <v>2458</v>
      </c>
      <c r="H291" s="1856" t="s">
        <v>28</v>
      </c>
      <c r="I291" s="1856" t="s">
        <v>930</v>
      </c>
    </row>
    <row customHeight="1" ht="11.25">
      <c r="A292" s="1856" t="s">
        <v>2288</v>
      </c>
      <c r="B292" s="1856" t="s">
        <v>16</v>
      </c>
      <c r="C292" s="1856" t="s">
        <v>2463</v>
      </c>
      <c r="D292" s="1856" t="s">
        <v>2464</v>
      </c>
      <c r="E292" s="1856" t="s">
        <v>2457</v>
      </c>
      <c r="F292" s="1856" t="s">
        <v>2465</v>
      </c>
      <c r="G292" s="1856" t="s">
        <v>2458</v>
      </c>
      <c r="H292" s="1856" t="s">
        <v>28</v>
      </c>
      <c r="I292" s="1856" t="s">
        <v>930</v>
      </c>
    </row>
    <row customHeight="1" ht="11.25">
      <c r="A293" s="1856" t="s">
        <v>2288</v>
      </c>
      <c r="B293" s="1856" t="s">
        <v>16</v>
      </c>
      <c r="C293" s="1856" t="s">
        <v>2466</v>
      </c>
      <c r="D293" s="1856" t="s">
        <v>2467</v>
      </c>
      <c r="E293" s="1856" t="s">
        <v>2457</v>
      </c>
      <c r="F293" s="1856" t="s">
        <v>2468</v>
      </c>
      <c r="G293" s="1856" t="s">
        <v>2458</v>
      </c>
      <c r="H293" s="1856" t="s">
        <v>28</v>
      </c>
      <c r="I293" s="1856" t="s">
        <v>930</v>
      </c>
    </row>
    <row customHeight="1" ht="11.25">
      <c r="A294" s="1856" t="s">
        <v>2288</v>
      </c>
      <c r="B294" s="1856" t="s">
        <v>16</v>
      </c>
      <c r="C294" s="1856" t="s">
        <v>2469</v>
      </c>
      <c r="D294" s="1856" t="s">
        <v>2470</v>
      </c>
      <c r="E294" s="1856" t="s">
        <v>2457</v>
      </c>
      <c r="F294" s="1856" t="s">
        <v>2471</v>
      </c>
      <c r="G294" s="1856" t="s">
        <v>2458</v>
      </c>
      <c r="H294" s="1856" t="s">
        <v>28</v>
      </c>
      <c r="I294" s="1856" t="s">
        <v>930</v>
      </c>
    </row>
    <row customHeight="1" ht="11.25">
      <c r="A295" s="1856" t="s">
        <v>2288</v>
      </c>
      <c r="B295" s="1856" t="s">
        <v>16</v>
      </c>
      <c r="C295" s="1856" t="s">
        <v>2472</v>
      </c>
      <c r="D295" s="1856" t="s">
        <v>2473</v>
      </c>
      <c r="E295" s="1856" t="s">
        <v>2457</v>
      </c>
      <c r="F295" s="1856" t="s">
        <v>2474</v>
      </c>
      <c r="G295" s="1856" t="s">
        <v>2458</v>
      </c>
      <c r="H295" s="1856" t="s">
        <v>28</v>
      </c>
      <c r="I295" s="1856" t="s">
        <v>930</v>
      </c>
    </row>
    <row customHeight="1" ht="11.25">
      <c r="A296" s="1856" t="s">
        <v>2288</v>
      </c>
      <c r="B296" s="1856" t="s">
        <v>16</v>
      </c>
      <c r="C296" s="1856" t="s">
        <v>2475</v>
      </c>
      <c r="D296" s="1856" t="s">
        <v>2476</v>
      </c>
      <c r="E296" s="1856" t="s">
        <v>2457</v>
      </c>
      <c r="F296" s="1856" t="s">
        <v>2477</v>
      </c>
      <c r="G296" s="1856" t="s">
        <v>2458</v>
      </c>
      <c r="H296" s="1856" t="s">
        <v>28</v>
      </c>
      <c r="I296" s="1856" t="s">
        <v>930</v>
      </c>
    </row>
    <row customHeight="1" ht="11.25">
      <c r="A297" s="1856" t="s">
        <v>2288</v>
      </c>
      <c r="B297" s="1856" t="s">
        <v>16</v>
      </c>
      <c r="C297" s="1856" t="s">
        <v>2478</v>
      </c>
      <c r="D297" s="1856" t="s">
        <v>2479</v>
      </c>
      <c r="E297" s="1856" t="s">
        <v>2457</v>
      </c>
      <c r="F297" s="1856" t="s">
        <v>2480</v>
      </c>
      <c r="G297" s="1856" t="s">
        <v>2458</v>
      </c>
      <c r="H297" s="1856" t="s">
        <v>28</v>
      </c>
      <c r="I297" s="1856" t="s">
        <v>930</v>
      </c>
    </row>
    <row customHeight="1" ht="11.25">
      <c r="A298" s="1856" t="s">
        <v>2288</v>
      </c>
      <c r="B298" s="1856" t="s">
        <v>16</v>
      </c>
      <c r="C298" s="1856" t="s">
        <v>2481</v>
      </c>
      <c r="D298" s="1856" t="s">
        <v>2482</v>
      </c>
      <c r="E298" s="1856" t="s">
        <v>2457</v>
      </c>
      <c r="F298" s="1856" t="s">
        <v>2483</v>
      </c>
      <c r="G298" s="1856" t="s">
        <v>2458</v>
      </c>
      <c r="H298" s="1856" t="s">
        <v>28</v>
      </c>
      <c r="I298" s="1856" t="s">
        <v>930</v>
      </c>
    </row>
    <row customHeight="1" ht="11.25">
      <c r="A299" s="1856" t="s">
        <v>2288</v>
      </c>
      <c r="B299" s="1856" t="s">
        <v>16</v>
      </c>
      <c r="C299" s="1856" t="s">
        <v>2484</v>
      </c>
      <c r="D299" s="1856" t="s">
        <v>2485</v>
      </c>
      <c r="E299" s="1856" t="s">
        <v>2457</v>
      </c>
      <c r="F299" s="1856" t="s">
        <v>2486</v>
      </c>
      <c r="G299" s="1856" t="s">
        <v>2458</v>
      </c>
      <c r="H299" s="1856" t="s">
        <v>28</v>
      </c>
      <c r="I299" s="1856" t="s">
        <v>930</v>
      </c>
    </row>
    <row customHeight="1" ht="11.25">
      <c r="A300" s="1856" t="s">
        <v>2288</v>
      </c>
      <c r="B300" s="1856" t="s">
        <v>16</v>
      </c>
      <c r="C300" s="1856" t="s">
        <v>2487</v>
      </c>
      <c r="D300" s="1856" t="s">
        <v>2488</v>
      </c>
      <c r="E300" s="1856" t="s">
        <v>2457</v>
      </c>
      <c r="F300" s="1856" t="s">
        <v>2342</v>
      </c>
      <c r="G300" s="1856" t="s">
        <v>2458</v>
      </c>
      <c r="H300" s="1856" t="s">
        <v>28</v>
      </c>
      <c r="I300" s="1856" t="s">
        <v>930</v>
      </c>
    </row>
    <row customHeight="1" ht="11.25">
      <c r="A301" s="1856" t="s">
        <v>2288</v>
      </c>
      <c r="B301" s="1856" t="s">
        <v>16</v>
      </c>
      <c r="C301" s="1856" t="s">
        <v>2489</v>
      </c>
      <c r="D301" s="1856" t="s">
        <v>2490</v>
      </c>
      <c r="E301" s="1856" t="s">
        <v>2457</v>
      </c>
      <c r="F301" s="1856" t="s">
        <v>2491</v>
      </c>
      <c r="G301" s="1856" t="s">
        <v>2458</v>
      </c>
      <c r="H301" s="1856" t="s">
        <v>28</v>
      </c>
      <c r="I301" s="1856" t="s">
        <v>930</v>
      </c>
    </row>
    <row customHeight="1" ht="11.25">
      <c r="A302" s="1856" t="s">
        <v>2288</v>
      </c>
      <c r="B302" s="1856" t="s">
        <v>16</v>
      </c>
      <c r="C302" s="1856" t="s">
        <v>2492</v>
      </c>
      <c r="D302" s="1856" t="s">
        <v>2493</v>
      </c>
      <c r="E302" s="1856" t="s">
        <v>2457</v>
      </c>
      <c r="F302" s="1856" t="s">
        <v>2494</v>
      </c>
      <c r="G302" s="1856" t="s">
        <v>2458</v>
      </c>
      <c r="H302" s="1856" t="s">
        <v>28</v>
      </c>
      <c r="I302" s="1856" t="s">
        <v>930</v>
      </c>
    </row>
    <row customHeight="1" ht="11.25">
      <c r="A303" s="1856" t="s">
        <v>2288</v>
      </c>
      <c r="B303" s="1856" t="s">
        <v>16</v>
      </c>
      <c r="C303" s="1856" t="s">
        <v>2495</v>
      </c>
      <c r="D303" s="1856" t="s">
        <v>2496</v>
      </c>
      <c r="E303" s="1856" t="s">
        <v>2457</v>
      </c>
      <c r="F303" s="1856" t="s">
        <v>2497</v>
      </c>
      <c r="G303" s="1856" t="s">
        <v>2458</v>
      </c>
      <c r="H303" s="1856" t="s">
        <v>28</v>
      </c>
      <c r="I303" s="1856" t="s">
        <v>930</v>
      </c>
    </row>
    <row customHeight="1" ht="11.25">
      <c r="A304" s="1856" t="s">
        <v>2288</v>
      </c>
      <c r="B304" s="1856" t="s">
        <v>16</v>
      </c>
      <c r="C304" s="1856" t="s">
        <v>2498</v>
      </c>
      <c r="D304" s="1856" t="s">
        <v>2499</v>
      </c>
      <c r="E304" s="1856" t="s">
        <v>2457</v>
      </c>
      <c r="F304" s="1856" t="s">
        <v>2373</v>
      </c>
      <c r="G304" s="1856" t="s">
        <v>2458</v>
      </c>
      <c r="H304" s="1856" t="s">
        <v>28</v>
      </c>
      <c r="I304" s="1856" t="s">
        <v>930</v>
      </c>
    </row>
    <row customHeight="1" ht="11.25">
      <c r="A305" s="1856" t="s">
        <v>2288</v>
      </c>
      <c r="B305" s="1856" t="s">
        <v>16</v>
      </c>
      <c r="C305" s="1856" t="s">
        <v>2500</v>
      </c>
      <c r="D305" s="1856" t="s">
        <v>2501</v>
      </c>
      <c r="E305" s="1856" t="s">
        <v>2457</v>
      </c>
      <c r="F305" s="1856" t="s">
        <v>2502</v>
      </c>
      <c r="G305" s="1856" t="s">
        <v>2458</v>
      </c>
      <c r="H305" s="1856" t="s">
        <v>28</v>
      </c>
      <c r="I305" s="1856" t="s">
        <v>930</v>
      </c>
    </row>
    <row customHeight="1" ht="11.25">
      <c r="A306" s="1856" t="s">
        <v>2288</v>
      </c>
      <c r="B306" s="1856" t="s">
        <v>16</v>
      </c>
      <c r="C306" s="1856" t="s">
        <v>2503</v>
      </c>
      <c r="D306" s="1856" t="s">
        <v>2504</v>
      </c>
      <c r="E306" s="1856" t="s">
        <v>2457</v>
      </c>
      <c r="F306" s="1856" t="s">
        <v>2348</v>
      </c>
      <c r="G306" s="1856" t="s">
        <v>2458</v>
      </c>
      <c r="H306" s="1856" t="s">
        <v>28</v>
      </c>
      <c r="I306" s="1856" t="s">
        <v>930</v>
      </c>
    </row>
    <row customHeight="1" ht="11.25">
      <c r="A307" s="1856" t="s">
        <v>2288</v>
      </c>
      <c r="B307" s="1856" t="s">
        <v>16</v>
      </c>
      <c r="C307" s="1856" t="s">
        <v>2505</v>
      </c>
      <c r="D307" s="1856" t="s">
        <v>2506</v>
      </c>
      <c r="E307" s="1856" t="s">
        <v>2457</v>
      </c>
      <c r="F307" s="1856" t="s">
        <v>2507</v>
      </c>
      <c r="G307" s="1856" t="s">
        <v>2458</v>
      </c>
      <c r="H307" s="1856" t="s">
        <v>28</v>
      </c>
      <c r="I307" s="1856" t="s">
        <v>930</v>
      </c>
    </row>
    <row customHeight="1" ht="11.25">
      <c r="A308" s="1856" t="s">
        <v>2288</v>
      </c>
      <c r="B308" s="1856" t="s">
        <v>16</v>
      </c>
      <c r="C308" s="1856" t="s">
        <v>2508</v>
      </c>
      <c r="D308" s="1856" t="s">
        <v>2509</v>
      </c>
      <c r="E308" s="1856" t="s">
        <v>2457</v>
      </c>
      <c r="F308" s="1856" t="s">
        <v>2382</v>
      </c>
      <c r="G308" s="1856" t="s">
        <v>2458</v>
      </c>
      <c r="H308" s="1856" t="s">
        <v>28</v>
      </c>
      <c r="I308" s="1856" t="s">
        <v>930</v>
      </c>
    </row>
    <row customHeight="1" ht="11.25">
      <c r="A309" s="1856" t="s">
        <v>2288</v>
      </c>
      <c r="B309" s="1856" t="s">
        <v>16</v>
      </c>
      <c r="C309" s="1856" t="s">
        <v>2510</v>
      </c>
      <c r="D309" s="1856" t="s">
        <v>2511</v>
      </c>
      <c r="E309" s="1856" t="s">
        <v>2457</v>
      </c>
      <c r="F309" s="1856" t="s">
        <v>2512</v>
      </c>
      <c r="G309" s="1856" t="s">
        <v>2458</v>
      </c>
      <c r="H309" s="1856" t="s">
        <v>28</v>
      </c>
      <c r="I309" s="1856" t="s">
        <v>930</v>
      </c>
    </row>
    <row customHeight="1" ht="11.25">
      <c r="A310" s="1856" t="s">
        <v>2288</v>
      </c>
      <c r="B310" s="1856" t="s">
        <v>16</v>
      </c>
      <c r="C310" s="1856" t="s">
        <v>2513</v>
      </c>
      <c r="D310" s="1856" t="s">
        <v>2514</v>
      </c>
      <c r="E310" s="1856" t="s">
        <v>2457</v>
      </c>
      <c r="F310" s="1856" t="s">
        <v>2515</v>
      </c>
      <c r="G310" s="1856" t="s">
        <v>2458</v>
      </c>
      <c r="H310" s="1856" t="s">
        <v>28</v>
      </c>
      <c r="I310" s="1856" t="s">
        <v>930</v>
      </c>
    </row>
    <row customHeight="1" ht="11.25">
      <c r="A311" s="1856" t="s">
        <v>2288</v>
      </c>
      <c r="B311" s="1856" t="s">
        <v>16</v>
      </c>
      <c r="C311" s="1856" t="s">
        <v>2516</v>
      </c>
      <c r="D311" s="1856" t="s">
        <v>2517</v>
      </c>
      <c r="E311" s="1856" t="s">
        <v>2457</v>
      </c>
      <c r="F311" s="1856" t="s">
        <v>2518</v>
      </c>
      <c r="G311" s="1856" t="s">
        <v>2458</v>
      </c>
      <c r="H311" s="1856" t="s">
        <v>28</v>
      </c>
      <c r="I311" s="1856" t="s">
        <v>930</v>
      </c>
    </row>
    <row customHeight="1" ht="11.25">
      <c r="A312" s="1856" t="s">
        <v>2288</v>
      </c>
      <c r="B312" s="1856" t="s">
        <v>16</v>
      </c>
      <c r="C312" s="1856" t="s">
        <v>2519</v>
      </c>
      <c r="D312" s="1856" t="s">
        <v>2520</v>
      </c>
      <c r="E312" s="1856" t="s">
        <v>2457</v>
      </c>
      <c r="F312" s="1856" t="s">
        <v>2521</v>
      </c>
      <c r="G312" s="1856" t="s">
        <v>2458</v>
      </c>
      <c r="H312" s="1856" t="s">
        <v>28</v>
      </c>
      <c r="I312" s="1856" t="s">
        <v>930</v>
      </c>
    </row>
    <row customHeight="1" ht="11.25">
      <c r="A313" s="1856" t="s">
        <v>2288</v>
      </c>
      <c r="B313" s="1856" t="s">
        <v>16</v>
      </c>
      <c r="C313" s="1856" t="s">
        <v>2522</v>
      </c>
      <c r="D313" s="1856" t="s">
        <v>2523</v>
      </c>
      <c r="E313" s="1856" t="s">
        <v>2457</v>
      </c>
      <c r="F313" s="1856" t="s">
        <v>2524</v>
      </c>
      <c r="G313" s="1856" t="s">
        <v>2458</v>
      </c>
      <c r="H313" s="1856" t="s">
        <v>28</v>
      </c>
      <c r="I313" s="1856" t="s">
        <v>930</v>
      </c>
    </row>
    <row customHeight="1" ht="11.25">
      <c r="A314" s="1856" t="s">
        <v>2288</v>
      </c>
      <c r="B314" s="1856" t="s">
        <v>16</v>
      </c>
      <c r="C314" s="1856" t="s">
        <v>2525</v>
      </c>
      <c r="D314" s="1856" t="s">
        <v>2526</v>
      </c>
      <c r="E314" s="1856" t="s">
        <v>2457</v>
      </c>
      <c r="F314" s="1856" t="s">
        <v>2527</v>
      </c>
      <c r="G314" s="1856" t="s">
        <v>2458</v>
      </c>
      <c r="H314" s="1856" t="s">
        <v>28</v>
      </c>
      <c r="I314" s="1856" t="s">
        <v>930</v>
      </c>
    </row>
    <row customHeight="1" ht="11.25">
      <c r="A315" s="1856" t="s">
        <v>2288</v>
      </c>
      <c r="B315" s="1856" t="s">
        <v>16</v>
      </c>
      <c r="C315" s="1856" t="s">
        <v>2528</v>
      </c>
      <c r="D315" s="1856" t="s">
        <v>2529</v>
      </c>
      <c r="E315" s="1856" t="s">
        <v>2457</v>
      </c>
      <c r="F315" s="1856" t="s">
        <v>2530</v>
      </c>
      <c r="G315" s="1856" t="s">
        <v>2458</v>
      </c>
      <c r="H315" s="1856" t="s">
        <v>28</v>
      </c>
      <c r="I315" s="1856" t="s">
        <v>930</v>
      </c>
    </row>
    <row customHeight="1" ht="11.25">
      <c r="A316" s="1856" t="s">
        <v>2288</v>
      </c>
      <c r="B316" s="1856" t="s">
        <v>16</v>
      </c>
      <c r="C316" s="1856" t="s">
        <v>2531</v>
      </c>
      <c r="D316" s="1856" t="s">
        <v>2532</v>
      </c>
      <c r="E316" s="1856" t="s">
        <v>2457</v>
      </c>
      <c r="F316" s="1856" t="s">
        <v>2533</v>
      </c>
      <c r="G316" s="1856" t="s">
        <v>2458</v>
      </c>
      <c r="H316" s="1856" t="s">
        <v>28</v>
      </c>
      <c r="I316" s="1856" t="s">
        <v>930</v>
      </c>
    </row>
    <row customHeight="1" ht="11.25">
      <c r="A317" s="1856" t="s">
        <v>2288</v>
      </c>
      <c r="B317" s="1856" t="s">
        <v>16</v>
      </c>
      <c r="C317" s="1856" t="s">
        <v>2545</v>
      </c>
      <c r="D317" s="1856" t="s">
        <v>2546</v>
      </c>
      <c r="E317" s="1856" t="s">
        <v>2547</v>
      </c>
      <c r="F317" s="1856" t="s">
        <v>2548</v>
      </c>
      <c r="G317" s="1856" t="s">
        <v>28</v>
      </c>
      <c r="H317" s="1856" t="s">
        <v>28</v>
      </c>
      <c r="I317" s="1856" t="s">
        <v>930</v>
      </c>
    </row>
    <row customHeight="1" ht="11.25">
      <c r="A318" s="1856" t="s">
        <v>2288</v>
      </c>
      <c r="B318" s="1856" t="s">
        <v>16</v>
      </c>
      <c r="C318" s="1856" t="s">
        <v>2549</v>
      </c>
      <c r="D318" s="1856" t="s">
        <v>2550</v>
      </c>
      <c r="E318" s="1856" t="s">
        <v>2551</v>
      </c>
      <c r="F318" s="1856" t="s">
        <v>612</v>
      </c>
      <c r="G318" s="1856" t="s">
        <v>2552</v>
      </c>
      <c r="H318" s="1856" t="s">
        <v>28</v>
      </c>
      <c r="I318" s="1856" t="s">
        <v>930</v>
      </c>
    </row>
    <row customHeight="1" ht="11.25">
      <c r="A319" s="1856" t="s">
        <v>2288</v>
      </c>
      <c r="B319" s="1856" t="s">
        <v>16</v>
      </c>
      <c r="C319" s="1856" t="s">
        <v>2569</v>
      </c>
      <c r="D319" s="1856" t="s">
        <v>2570</v>
      </c>
      <c r="E319" s="1856" t="s">
        <v>2571</v>
      </c>
      <c r="F319" s="1856" t="s">
        <v>612</v>
      </c>
      <c r="G319" s="1856" t="s">
        <v>2572</v>
      </c>
      <c r="H319" s="1856" t="s">
        <v>28</v>
      </c>
      <c r="I319" s="1856" t="s">
        <v>930</v>
      </c>
    </row>
    <row customHeight="1" ht="11.25">
      <c r="A320" s="1856" t="s">
        <v>2288</v>
      </c>
      <c r="B320" s="1856" t="s">
        <v>16</v>
      </c>
      <c r="C320" s="1856" t="s">
        <v>2584</v>
      </c>
      <c r="D320" s="1856" t="s">
        <v>2585</v>
      </c>
      <c r="E320" s="1856" t="s">
        <v>2586</v>
      </c>
      <c r="F320" s="1856" t="s">
        <v>612</v>
      </c>
      <c r="G320" s="1856" t="s">
        <v>2587</v>
      </c>
      <c r="H320" s="1856" t="s">
        <v>28</v>
      </c>
      <c r="I320" s="1856" t="s">
        <v>930</v>
      </c>
    </row>
    <row customHeight="1" ht="11.25">
      <c r="A321" s="1856" t="s">
        <v>2288</v>
      </c>
      <c r="B321" s="1856" t="s">
        <v>16</v>
      </c>
      <c r="C321" s="1856" t="s">
        <v>2588</v>
      </c>
      <c r="D321" s="1856" t="s">
        <v>2589</v>
      </c>
      <c r="E321" s="1856" t="s">
        <v>2590</v>
      </c>
      <c r="F321" s="1856" t="s">
        <v>612</v>
      </c>
      <c r="G321" s="1856" t="s">
        <v>2591</v>
      </c>
      <c r="H321" s="1856" t="s">
        <v>28</v>
      </c>
      <c r="I321" s="1856" t="s">
        <v>930</v>
      </c>
    </row>
    <row customHeight="1" ht="11.25">
      <c r="A322" s="1856" t="s">
        <v>2288</v>
      </c>
      <c r="B322" s="1856" t="s">
        <v>16</v>
      </c>
      <c r="C322" s="1856" t="s">
        <v>2592</v>
      </c>
      <c r="D322" s="1856" t="s">
        <v>2593</v>
      </c>
      <c r="E322" s="1856" t="s">
        <v>2594</v>
      </c>
      <c r="F322" s="1856" t="s">
        <v>612</v>
      </c>
      <c r="G322" s="1856" t="s">
        <v>2595</v>
      </c>
      <c r="H322" s="1856" t="s">
        <v>28</v>
      </c>
      <c r="I322" s="1856" t="s">
        <v>930</v>
      </c>
    </row>
    <row customHeight="1" ht="11.25">
      <c r="A323" s="1856" t="s">
        <v>2288</v>
      </c>
      <c r="B323" s="1856" t="s">
        <v>16</v>
      </c>
      <c r="C323" s="1856" t="s">
        <v>2610</v>
      </c>
      <c r="D323" s="1856" t="s">
        <v>2611</v>
      </c>
      <c r="E323" s="1856" t="s">
        <v>2612</v>
      </c>
      <c r="F323" s="1856" t="s">
        <v>612</v>
      </c>
      <c r="G323" s="1856" t="s">
        <v>2613</v>
      </c>
      <c r="H323" s="1856" t="s">
        <v>28</v>
      </c>
      <c r="I323" s="1856" t="s">
        <v>930</v>
      </c>
    </row>
    <row customHeight="1" ht="11.25">
      <c r="A324" s="1856" t="s">
        <v>2288</v>
      </c>
      <c r="B324" s="1856" t="s">
        <v>16</v>
      </c>
      <c r="C324" s="1856" t="s">
        <v>2618</v>
      </c>
      <c r="D324" s="1856" t="s">
        <v>2619</v>
      </c>
      <c r="E324" s="1856" t="s">
        <v>2620</v>
      </c>
      <c r="F324" s="1856" t="s">
        <v>612</v>
      </c>
      <c r="G324" s="1856" t="s">
        <v>2576</v>
      </c>
      <c r="H324" s="1856" t="s">
        <v>28</v>
      </c>
      <c r="I324" s="1856" t="s">
        <v>930</v>
      </c>
    </row>
    <row customHeight="1" ht="11.25">
      <c r="A325" s="1856" t="s">
        <v>2288</v>
      </c>
      <c r="B325" s="1856" t="s">
        <v>16</v>
      </c>
      <c r="C325" s="1856" t="s">
        <v>2640</v>
      </c>
      <c r="D325" s="1856" t="s">
        <v>2641</v>
      </c>
      <c r="E325" s="1856" t="s">
        <v>2642</v>
      </c>
      <c r="F325" s="1856" t="s">
        <v>612</v>
      </c>
      <c r="G325" s="1856" t="s">
        <v>2643</v>
      </c>
      <c r="H325" s="1856" t="s">
        <v>28</v>
      </c>
      <c r="I325" s="1856" t="s">
        <v>930</v>
      </c>
    </row>
    <row customHeight="1" ht="11.25">
      <c r="A326" s="1856" t="s">
        <v>2288</v>
      </c>
      <c r="B326" s="1856" t="s">
        <v>16</v>
      </c>
      <c r="C326" s="1856" t="s">
        <v>2644</v>
      </c>
      <c r="D326" s="1856" t="s">
        <v>2645</v>
      </c>
      <c r="E326" s="1856" t="s">
        <v>2425</v>
      </c>
      <c r="F326" s="1856" t="s">
        <v>2646</v>
      </c>
      <c r="G326" s="1856" t="s">
        <v>2647</v>
      </c>
      <c r="H326" s="1856" t="s">
        <v>28</v>
      </c>
      <c r="I326" s="1856" t="s">
        <v>930</v>
      </c>
    </row>
    <row customHeight="1" ht="11.25">
      <c r="A327" s="1856" t="s">
        <v>2288</v>
      </c>
      <c r="B327" s="1856" t="s">
        <v>16</v>
      </c>
      <c r="C327" s="1856" t="s">
        <v>2648</v>
      </c>
      <c r="D327" s="1856" t="s">
        <v>2649</v>
      </c>
      <c r="E327" s="1856" t="s">
        <v>2650</v>
      </c>
      <c r="F327" s="1856" t="s">
        <v>2651</v>
      </c>
      <c r="G327" s="1856" t="s">
        <v>2652</v>
      </c>
      <c r="H327" s="1856" t="s">
        <v>28</v>
      </c>
      <c r="I327" s="1856" t="s">
        <v>930</v>
      </c>
    </row>
    <row customHeight="1" ht="11.25">
      <c r="A328" s="1856" t="s">
        <v>2288</v>
      </c>
      <c r="B328" s="1856" t="s">
        <v>16</v>
      </c>
      <c r="C328" s="1856" t="s">
        <v>2658</v>
      </c>
      <c r="D328" s="1856" t="s">
        <v>2659</v>
      </c>
      <c r="E328" s="1856" t="s">
        <v>2660</v>
      </c>
      <c r="F328" s="1856" t="s">
        <v>2333</v>
      </c>
      <c r="G328" s="1856" t="s">
        <v>2661</v>
      </c>
      <c r="H328" s="1856" t="s">
        <v>28</v>
      </c>
      <c r="I328" s="1856" t="s">
        <v>930</v>
      </c>
    </row>
    <row customHeight="1" ht="11.25">
      <c r="A329" s="1856" t="s">
        <v>2288</v>
      </c>
      <c r="B329" s="1856" t="s">
        <v>16</v>
      </c>
      <c r="C329" s="1856" t="s">
        <v>2667</v>
      </c>
      <c r="D329" s="1856" t="s">
        <v>2668</v>
      </c>
      <c r="E329" s="1856" t="s">
        <v>2669</v>
      </c>
      <c r="F329" s="1856" t="s">
        <v>2300</v>
      </c>
      <c r="G329" s="1856" t="s">
        <v>2670</v>
      </c>
      <c r="H329" s="1856" t="s">
        <v>28</v>
      </c>
      <c r="I329" s="1856" t="s">
        <v>930</v>
      </c>
    </row>
    <row customHeight="1" ht="11.25">
      <c r="A330" s="1856" t="s">
        <v>2288</v>
      </c>
      <c r="B330" s="1856" t="s">
        <v>16</v>
      </c>
      <c r="C330" s="1856" t="s">
        <v>2671</v>
      </c>
      <c r="D330" s="1856" t="s">
        <v>2672</v>
      </c>
      <c r="E330" s="1856" t="s">
        <v>2673</v>
      </c>
      <c r="F330" s="1856" t="s">
        <v>2674</v>
      </c>
      <c r="G330" s="1856" t="s">
        <v>2675</v>
      </c>
      <c r="H330" s="1856" t="s">
        <v>28</v>
      </c>
      <c r="I330" s="1856" t="s">
        <v>930</v>
      </c>
    </row>
    <row customHeight="1" ht="11.25">
      <c r="A331" s="1856" t="s">
        <v>2288</v>
      </c>
      <c r="B331" s="1856" t="s">
        <v>16</v>
      </c>
      <c r="C331" s="1856" t="s">
        <v>2676</v>
      </c>
      <c r="D331" s="1856" t="s">
        <v>2677</v>
      </c>
      <c r="E331" s="1856" t="s">
        <v>2678</v>
      </c>
      <c r="F331" s="1856" t="s">
        <v>2300</v>
      </c>
      <c r="G331" s="1856" t="s">
        <v>2679</v>
      </c>
      <c r="H331" s="1856" t="s">
        <v>28</v>
      </c>
      <c r="I331" s="1856" t="s">
        <v>930</v>
      </c>
    </row>
    <row customHeight="1" ht="11.25">
      <c r="A332" s="1856" t="s">
        <v>2288</v>
      </c>
      <c r="B332" s="1856" t="s">
        <v>16</v>
      </c>
      <c r="C332" s="1856" t="s">
        <v>2680</v>
      </c>
      <c r="D332" s="1856" t="s">
        <v>2681</v>
      </c>
      <c r="E332" s="1856" t="s">
        <v>2682</v>
      </c>
      <c r="F332" s="1856" t="s">
        <v>2300</v>
      </c>
      <c r="G332" s="1856" t="s">
        <v>2683</v>
      </c>
      <c r="H332" s="1856" t="s">
        <v>28</v>
      </c>
      <c r="I332" s="1856" t="s">
        <v>930</v>
      </c>
    </row>
    <row customHeight="1" ht="11.25">
      <c r="A333" s="1856" t="s">
        <v>2288</v>
      </c>
      <c r="B333" s="1856" t="s">
        <v>16</v>
      </c>
      <c r="C333" s="1856" t="s">
        <v>2684</v>
      </c>
      <c r="D333" s="1856" t="s">
        <v>2685</v>
      </c>
      <c r="E333" s="1856" t="s">
        <v>2686</v>
      </c>
      <c r="F333" s="1856" t="s">
        <v>2687</v>
      </c>
      <c r="G333" s="1856" t="s">
        <v>2688</v>
      </c>
      <c r="H333" s="1856" t="s">
        <v>28</v>
      </c>
      <c r="I333" s="1856" t="s">
        <v>930</v>
      </c>
    </row>
    <row customHeight="1" ht="11.25">
      <c r="A334" s="1856" t="s">
        <v>2288</v>
      </c>
      <c r="B334" s="1856" t="s">
        <v>16</v>
      </c>
      <c r="C334" s="1856" t="s">
        <v>2689</v>
      </c>
      <c r="D334" s="1856" t="s">
        <v>2690</v>
      </c>
      <c r="E334" s="1856" t="s">
        <v>2691</v>
      </c>
      <c r="F334" s="1856" t="s">
        <v>2692</v>
      </c>
      <c r="G334" s="1856" t="s">
        <v>2693</v>
      </c>
      <c r="H334" s="1856" t="s">
        <v>28</v>
      </c>
      <c r="I334" s="1856" t="s">
        <v>930</v>
      </c>
    </row>
    <row customHeight="1" ht="11.25">
      <c r="A335" s="1856" t="s">
        <v>2288</v>
      </c>
      <c r="B335" s="1856" t="s">
        <v>16</v>
      </c>
      <c r="C335" s="1856" t="s">
        <v>2694</v>
      </c>
      <c r="D335" s="1856" t="s">
        <v>2695</v>
      </c>
      <c r="E335" s="1856" t="s">
        <v>2696</v>
      </c>
      <c r="F335" s="1856" t="s">
        <v>2300</v>
      </c>
      <c r="G335" s="1856" t="s">
        <v>2697</v>
      </c>
      <c r="H335" s="1856" t="s">
        <v>28</v>
      </c>
      <c r="I335" s="1856" t="s">
        <v>930</v>
      </c>
    </row>
    <row customHeight="1" ht="11.25">
      <c r="A336" s="1856" t="s">
        <v>2288</v>
      </c>
      <c r="B336" s="1856" t="s">
        <v>16</v>
      </c>
      <c r="C336" s="1856" t="s">
        <v>2698</v>
      </c>
      <c r="D336" s="1856" t="s">
        <v>2699</v>
      </c>
      <c r="E336" s="1856" t="s">
        <v>2700</v>
      </c>
      <c r="F336" s="1856" t="s">
        <v>2701</v>
      </c>
      <c r="G336" s="1856" t="s">
        <v>2702</v>
      </c>
      <c r="H336" s="1856" t="s">
        <v>28</v>
      </c>
      <c r="I336" s="1856" t="s">
        <v>930</v>
      </c>
    </row>
    <row customHeight="1" ht="11.25">
      <c r="A337" s="1856" t="s">
        <v>2288</v>
      </c>
      <c r="B337" s="1856" t="s">
        <v>16</v>
      </c>
      <c r="C337" s="1856" t="s">
        <v>2703</v>
      </c>
      <c r="D337" s="1856" t="s">
        <v>2704</v>
      </c>
      <c r="E337" s="1856" t="s">
        <v>2705</v>
      </c>
      <c r="F337" s="1856" t="s">
        <v>2300</v>
      </c>
      <c r="G337" s="1856" t="s">
        <v>2706</v>
      </c>
      <c r="H337" s="1856" t="s">
        <v>28</v>
      </c>
      <c r="I337" s="1856" t="s">
        <v>930</v>
      </c>
    </row>
    <row customHeight="1" ht="11.25">
      <c r="A338" s="1856" t="s">
        <v>2288</v>
      </c>
      <c r="B338" s="1856" t="s">
        <v>16</v>
      </c>
      <c r="C338" s="1856" t="s">
        <v>2707</v>
      </c>
      <c r="D338" s="1856" t="s">
        <v>2708</v>
      </c>
      <c r="E338" s="1856" t="s">
        <v>2709</v>
      </c>
      <c r="F338" s="1856" t="s">
        <v>2300</v>
      </c>
      <c r="G338" s="1856" t="s">
        <v>2710</v>
      </c>
      <c r="H338" s="1856" t="s">
        <v>28</v>
      </c>
      <c r="I338" s="1856" t="s">
        <v>930</v>
      </c>
    </row>
    <row customHeight="1" ht="11.25">
      <c r="A339" s="1856" t="s">
        <v>2288</v>
      </c>
      <c r="B339" s="1856" t="s">
        <v>16</v>
      </c>
      <c r="C339" s="1856" t="s">
        <v>2730</v>
      </c>
      <c r="D339" s="1856" t="s">
        <v>2731</v>
      </c>
      <c r="E339" s="1856" t="s">
        <v>2732</v>
      </c>
      <c r="F339" s="1856" t="s">
        <v>2300</v>
      </c>
      <c r="G339" s="1856" t="s">
        <v>2733</v>
      </c>
      <c r="H339" s="1856" t="s">
        <v>28</v>
      </c>
      <c r="I339" s="1856" t="s">
        <v>930</v>
      </c>
    </row>
    <row customHeight="1" ht="11.25">
      <c r="A340" s="1856" t="s">
        <v>2288</v>
      </c>
      <c r="B340" s="1856" t="s">
        <v>16</v>
      </c>
      <c r="C340" s="1856" t="s">
        <v>2734</v>
      </c>
      <c r="D340" s="1856" t="s">
        <v>2735</v>
      </c>
      <c r="E340" s="1856" t="s">
        <v>2736</v>
      </c>
      <c r="F340" s="1856" t="s">
        <v>2319</v>
      </c>
      <c r="G340" s="1856" t="s">
        <v>2737</v>
      </c>
      <c r="H340" s="1856" t="s">
        <v>28</v>
      </c>
      <c r="I340" s="1856" t="s">
        <v>930</v>
      </c>
    </row>
    <row customHeight="1" ht="11.25">
      <c r="A341" s="1856" t="s">
        <v>2288</v>
      </c>
      <c r="B341" s="1856" t="s">
        <v>16</v>
      </c>
      <c r="C341" s="1856" t="s">
        <v>2738</v>
      </c>
      <c r="D341" s="1856" t="s">
        <v>2739</v>
      </c>
      <c r="E341" s="1856" t="s">
        <v>2740</v>
      </c>
      <c r="F341" s="1856" t="s">
        <v>2741</v>
      </c>
      <c r="G341" s="1856" t="s">
        <v>2742</v>
      </c>
      <c r="H341" s="1856" t="s">
        <v>28</v>
      </c>
      <c r="I341" s="1856" t="s">
        <v>930</v>
      </c>
    </row>
    <row customHeight="1" ht="11.25">
      <c r="A342" s="1856" t="s">
        <v>2288</v>
      </c>
      <c r="B342" s="1856" t="s">
        <v>16</v>
      </c>
      <c r="C342" s="1856" t="s">
        <v>2752</v>
      </c>
      <c r="D342" s="1856" t="s">
        <v>2753</v>
      </c>
      <c r="E342" s="1856" t="s">
        <v>2754</v>
      </c>
      <c r="F342" s="1856" t="s">
        <v>2300</v>
      </c>
      <c r="G342" s="1856" t="s">
        <v>2755</v>
      </c>
      <c r="H342" s="1856" t="s">
        <v>28</v>
      </c>
      <c r="I342" s="1856" t="s">
        <v>930</v>
      </c>
    </row>
    <row customHeight="1" ht="11.25">
      <c r="A343" s="1856" t="s">
        <v>2288</v>
      </c>
      <c r="B343" s="1856" t="s">
        <v>16</v>
      </c>
      <c r="C343" s="1856" t="s">
        <v>2761</v>
      </c>
      <c r="D343" s="1856" t="s">
        <v>2762</v>
      </c>
      <c r="E343" s="1856" t="s">
        <v>2763</v>
      </c>
      <c r="F343" s="1856" t="s">
        <v>2759</v>
      </c>
      <c r="G343" s="1856" t="s">
        <v>2764</v>
      </c>
      <c r="H343" s="1856" t="s">
        <v>28</v>
      </c>
      <c r="I343" s="1856" t="s">
        <v>930</v>
      </c>
    </row>
    <row customHeight="1" ht="11.25">
      <c r="A344" s="1856" t="s">
        <v>2288</v>
      </c>
      <c r="B344" s="1856" t="s">
        <v>16</v>
      </c>
      <c r="C344" s="1856" t="s">
        <v>2765</v>
      </c>
      <c r="D344" s="1856" t="s">
        <v>2766</v>
      </c>
      <c r="E344" s="1856" t="s">
        <v>2767</v>
      </c>
      <c r="F344" s="1856" t="s">
        <v>2300</v>
      </c>
      <c r="G344" s="1856" t="s">
        <v>2768</v>
      </c>
      <c r="H344" s="1856" t="s">
        <v>28</v>
      </c>
      <c r="I344" s="1856" t="s">
        <v>930</v>
      </c>
    </row>
    <row customHeight="1" ht="11.25">
      <c r="A345" s="1856" t="s">
        <v>2288</v>
      </c>
      <c r="B345" s="1856" t="s">
        <v>16</v>
      </c>
      <c r="C345" s="1856" t="s">
        <v>2773</v>
      </c>
      <c r="D345" s="1856" t="s">
        <v>2774</v>
      </c>
      <c r="E345" s="1856" t="s">
        <v>2775</v>
      </c>
      <c r="F345" s="1856" t="s">
        <v>2656</v>
      </c>
      <c r="G345" s="1856" t="s">
        <v>2776</v>
      </c>
      <c r="H345" s="1856" t="s">
        <v>28</v>
      </c>
      <c r="I345" s="1856" t="s">
        <v>930</v>
      </c>
    </row>
    <row customHeight="1" ht="11.25">
      <c r="A346" s="1856" t="s">
        <v>2288</v>
      </c>
      <c r="B346" s="1856" t="s">
        <v>16</v>
      </c>
      <c r="C346" s="1856" t="s">
        <v>2777</v>
      </c>
      <c r="D346" s="1856" t="s">
        <v>2778</v>
      </c>
      <c r="E346" s="1856" t="s">
        <v>2779</v>
      </c>
      <c r="F346" s="1856" t="s">
        <v>2665</v>
      </c>
      <c r="G346" s="1856" t="s">
        <v>2780</v>
      </c>
      <c r="H346" s="1856" t="s">
        <v>28</v>
      </c>
      <c r="I346" s="1856" t="s">
        <v>930</v>
      </c>
    </row>
    <row customHeight="1" ht="11.25">
      <c r="A347" s="1856" t="s">
        <v>2288</v>
      </c>
      <c r="B347" s="1856" t="s">
        <v>16</v>
      </c>
      <c r="C347" s="1856" t="s">
        <v>2781</v>
      </c>
      <c r="D347" s="1856" t="s">
        <v>2782</v>
      </c>
      <c r="E347" s="1856" t="s">
        <v>2783</v>
      </c>
      <c r="F347" s="1856" t="s">
        <v>2300</v>
      </c>
      <c r="G347" s="1856" t="s">
        <v>2784</v>
      </c>
      <c r="H347" s="1856" t="s">
        <v>28</v>
      </c>
      <c r="I347" s="1856" t="s">
        <v>930</v>
      </c>
    </row>
    <row customHeight="1" ht="11.25">
      <c r="A348" s="1856" t="s">
        <v>2288</v>
      </c>
      <c r="B348" s="1856" t="s">
        <v>16</v>
      </c>
      <c r="C348" s="1856" t="s">
        <v>2785</v>
      </c>
      <c r="D348" s="1856" t="s">
        <v>2786</v>
      </c>
      <c r="E348" s="1856" t="s">
        <v>2787</v>
      </c>
      <c r="F348" s="1856" t="s">
        <v>2788</v>
      </c>
      <c r="G348" s="1856" t="s">
        <v>2789</v>
      </c>
      <c r="H348" s="1856" t="s">
        <v>28</v>
      </c>
      <c r="I348" s="1856" t="s">
        <v>930</v>
      </c>
    </row>
    <row customHeight="1" ht="11.25">
      <c r="A349" s="1856" t="s">
        <v>2288</v>
      </c>
      <c r="B349" s="1856" t="s">
        <v>16</v>
      </c>
      <c r="C349" s="1856" t="s">
        <v>2790</v>
      </c>
      <c r="D349" s="1856" t="s">
        <v>2791</v>
      </c>
      <c r="E349" s="1856" t="s">
        <v>2792</v>
      </c>
      <c r="F349" s="1856" t="s">
        <v>2687</v>
      </c>
      <c r="G349" s="1856" t="s">
        <v>2793</v>
      </c>
      <c r="H349" s="1856" t="s">
        <v>28</v>
      </c>
      <c r="I349" s="1856" t="s">
        <v>930</v>
      </c>
    </row>
    <row customHeight="1" ht="11.25">
      <c r="A350" s="1856" t="s">
        <v>2288</v>
      </c>
      <c r="B350" s="1856" t="s">
        <v>16</v>
      </c>
      <c r="C350" s="1856" t="s">
        <v>2794</v>
      </c>
      <c r="D350" s="1856" t="s">
        <v>2795</v>
      </c>
      <c r="E350" s="1856" t="s">
        <v>2796</v>
      </c>
      <c r="F350" s="1856" t="s">
        <v>2300</v>
      </c>
      <c r="G350" s="1856" t="s">
        <v>2797</v>
      </c>
      <c r="H350" s="1856" t="s">
        <v>28</v>
      </c>
      <c r="I350" s="1856" t="s">
        <v>930</v>
      </c>
    </row>
    <row customHeight="1" ht="11.25">
      <c r="A351" s="1856" t="s">
        <v>2288</v>
      </c>
      <c r="B351" s="1856" t="s">
        <v>16</v>
      </c>
      <c r="C351" s="1856" t="s">
        <v>2798</v>
      </c>
      <c r="D351" s="1856" t="s">
        <v>2799</v>
      </c>
      <c r="E351" s="1856" t="s">
        <v>2800</v>
      </c>
      <c r="F351" s="1856" t="s">
        <v>2328</v>
      </c>
      <c r="G351" s="1856" t="s">
        <v>2801</v>
      </c>
      <c r="H351" s="1856" t="s">
        <v>28</v>
      </c>
      <c r="I351" s="1856" t="s">
        <v>930</v>
      </c>
    </row>
    <row customHeight="1" ht="11.25">
      <c r="A352" s="1856" t="s">
        <v>2288</v>
      </c>
      <c r="B352" s="1856" t="s">
        <v>16</v>
      </c>
      <c r="C352" s="1856" t="s">
        <v>2802</v>
      </c>
      <c r="D352" s="1856" t="s">
        <v>2803</v>
      </c>
      <c r="E352" s="1856" t="s">
        <v>2804</v>
      </c>
      <c r="F352" s="1856" t="s">
        <v>2300</v>
      </c>
      <c r="G352" s="1856" t="s">
        <v>2805</v>
      </c>
      <c r="H352" s="1856" t="s">
        <v>28</v>
      </c>
      <c r="I352" s="1856" t="s">
        <v>930</v>
      </c>
    </row>
    <row customHeight="1" ht="11.25">
      <c r="A353" s="1856" t="s">
        <v>2288</v>
      </c>
      <c r="B353" s="1856" t="s">
        <v>16</v>
      </c>
      <c r="C353" s="1856" t="s">
        <v>2806</v>
      </c>
      <c r="D353" s="1856" t="s">
        <v>2807</v>
      </c>
      <c r="E353" s="1856" t="s">
        <v>2808</v>
      </c>
      <c r="F353" s="1856" t="s">
        <v>2300</v>
      </c>
      <c r="G353" s="1856" t="s">
        <v>2805</v>
      </c>
      <c r="H353" s="1856" t="s">
        <v>28</v>
      </c>
      <c r="I353" s="1856" t="s">
        <v>930</v>
      </c>
    </row>
    <row customHeight="1" ht="11.25">
      <c r="A354" s="1856" t="s">
        <v>2288</v>
      </c>
      <c r="B354" s="1856" t="s">
        <v>16</v>
      </c>
      <c r="C354" s="1856" t="s">
        <v>2809</v>
      </c>
      <c r="D354" s="1856" t="s">
        <v>2810</v>
      </c>
      <c r="E354" s="1856" t="s">
        <v>2811</v>
      </c>
      <c r="F354" s="1856" t="s">
        <v>2300</v>
      </c>
      <c r="G354" s="1856" t="s">
        <v>2812</v>
      </c>
      <c r="H354" s="1856" t="s">
        <v>28</v>
      </c>
      <c r="I354" s="1856" t="s">
        <v>930</v>
      </c>
    </row>
    <row customHeight="1" ht="11.25">
      <c r="A355" s="1856" t="s">
        <v>2288</v>
      </c>
      <c r="B355" s="1856" t="s">
        <v>16</v>
      </c>
      <c r="C355" s="1856" t="s">
        <v>2821</v>
      </c>
      <c r="D355" s="1856" t="s">
        <v>2822</v>
      </c>
      <c r="E355" s="1856" t="s">
        <v>2823</v>
      </c>
      <c r="F355" s="1856" t="s">
        <v>2692</v>
      </c>
      <c r="G355" s="1856" t="s">
        <v>2824</v>
      </c>
      <c r="H355" s="1856" t="s">
        <v>28</v>
      </c>
      <c r="I355" s="1856" t="s">
        <v>930</v>
      </c>
    </row>
    <row customHeight="1" ht="11.25">
      <c r="A356" s="1856" t="s">
        <v>2288</v>
      </c>
      <c r="B356" s="1856" t="s">
        <v>16</v>
      </c>
      <c r="C356" s="1856" t="s">
        <v>2833</v>
      </c>
      <c r="D356" s="1856" t="s">
        <v>2834</v>
      </c>
      <c r="E356" s="1856" t="s">
        <v>2835</v>
      </c>
      <c r="F356" s="1856" t="s">
        <v>2300</v>
      </c>
      <c r="G356" s="1856" t="s">
        <v>2836</v>
      </c>
      <c r="H356" s="1856" t="s">
        <v>28</v>
      </c>
      <c r="I356" s="1856" t="s">
        <v>930</v>
      </c>
    </row>
    <row customHeight="1" ht="11.25">
      <c r="A357" s="1856" t="s">
        <v>2288</v>
      </c>
      <c r="B357" s="1856" t="s">
        <v>16</v>
      </c>
      <c r="C357" s="1856" t="s">
        <v>2837</v>
      </c>
      <c r="D357" s="1856" t="s">
        <v>2838</v>
      </c>
      <c r="E357" s="1856" t="s">
        <v>2839</v>
      </c>
      <c r="F357" s="1856" t="s">
        <v>2840</v>
      </c>
      <c r="G357" s="1856" t="s">
        <v>2841</v>
      </c>
      <c r="H357" s="1856" t="s">
        <v>28</v>
      </c>
      <c r="I357" s="1856" t="s">
        <v>930</v>
      </c>
    </row>
    <row customHeight="1" ht="11.25">
      <c r="A358" s="1856" t="s">
        <v>2288</v>
      </c>
      <c r="B358" s="1856" t="s">
        <v>16</v>
      </c>
      <c r="C358" s="1856" t="s">
        <v>2842</v>
      </c>
      <c r="D358" s="1856" t="s">
        <v>2843</v>
      </c>
      <c r="E358" s="1856" t="s">
        <v>2844</v>
      </c>
      <c r="F358" s="1856" t="s">
        <v>2687</v>
      </c>
      <c r="G358" s="1856" t="s">
        <v>2845</v>
      </c>
      <c r="H358" s="1856" t="s">
        <v>28</v>
      </c>
      <c r="I358" s="1856" t="s">
        <v>930</v>
      </c>
    </row>
    <row customHeight="1" ht="11.25">
      <c r="A359" s="1856" t="s">
        <v>2288</v>
      </c>
      <c r="B359" s="1856" t="s">
        <v>16</v>
      </c>
      <c r="C359" s="1856" t="s">
        <v>2858</v>
      </c>
      <c r="D359" s="1856" t="s">
        <v>2859</v>
      </c>
      <c r="E359" s="1856" t="s">
        <v>2860</v>
      </c>
      <c r="F359" s="1856" t="s">
        <v>2300</v>
      </c>
      <c r="G359" s="1856" t="s">
        <v>2657</v>
      </c>
      <c r="H359" s="1856" t="s">
        <v>28</v>
      </c>
      <c r="I359" s="1856" t="s">
        <v>930</v>
      </c>
    </row>
    <row customHeight="1" ht="11.25">
      <c r="A360" s="1856" t="s">
        <v>2288</v>
      </c>
      <c r="B360" s="1856" t="s">
        <v>16</v>
      </c>
      <c r="C360" s="1856" t="s">
        <v>2861</v>
      </c>
      <c r="D360" s="1856" t="s">
        <v>2862</v>
      </c>
      <c r="E360" s="1856" t="s">
        <v>2863</v>
      </c>
      <c r="F360" s="1856" t="s">
        <v>2300</v>
      </c>
      <c r="G360" s="1856" t="s">
        <v>2864</v>
      </c>
      <c r="H360" s="1856" t="s">
        <v>28</v>
      </c>
      <c r="I360" s="1856" t="s">
        <v>930</v>
      </c>
    </row>
    <row customHeight="1" ht="11.25">
      <c r="A361" s="1856" t="s">
        <v>2288</v>
      </c>
      <c r="B361" s="1856" t="s">
        <v>16</v>
      </c>
      <c r="C361" s="1856" t="s">
        <v>2865</v>
      </c>
      <c r="D361" s="1856" t="s">
        <v>2866</v>
      </c>
      <c r="E361" s="1856" t="s">
        <v>2867</v>
      </c>
      <c r="F361" s="1856" t="s">
        <v>2333</v>
      </c>
      <c r="G361" s="1856" t="s">
        <v>2868</v>
      </c>
      <c r="H361" s="1856" t="s">
        <v>28</v>
      </c>
      <c r="I361" s="1856" t="s">
        <v>930</v>
      </c>
    </row>
    <row customHeight="1" ht="11.25">
      <c r="A362" s="1856" t="s">
        <v>2288</v>
      </c>
      <c r="B362" s="1856" t="s">
        <v>16</v>
      </c>
      <c r="C362" s="1856" t="s">
        <v>2877</v>
      </c>
      <c r="D362" s="1856" t="s">
        <v>2878</v>
      </c>
      <c r="E362" s="1856" t="s">
        <v>2879</v>
      </c>
      <c r="F362" s="1856" t="s">
        <v>2674</v>
      </c>
      <c r="G362" s="1856" t="s">
        <v>2880</v>
      </c>
      <c r="H362" s="1856" t="s">
        <v>28</v>
      </c>
      <c r="I362" s="1856" t="s">
        <v>930</v>
      </c>
    </row>
    <row customHeight="1" ht="11.25">
      <c r="A363" s="1856" t="s">
        <v>2288</v>
      </c>
      <c r="B363" s="1856" t="s">
        <v>16</v>
      </c>
      <c r="C363" s="1856" t="s">
        <v>2881</v>
      </c>
      <c r="D363" s="1856" t="s">
        <v>2882</v>
      </c>
      <c r="E363" s="1856" t="s">
        <v>2883</v>
      </c>
      <c r="F363" s="1856" t="s">
        <v>2333</v>
      </c>
      <c r="G363" s="1856" t="s">
        <v>2884</v>
      </c>
      <c r="H363" s="1856" t="s">
        <v>28</v>
      </c>
      <c r="I363" s="1856" t="s">
        <v>930</v>
      </c>
    </row>
    <row customHeight="1" ht="11.25">
      <c r="A364" s="1856" t="s">
        <v>2288</v>
      </c>
      <c r="B364" s="1856" t="s">
        <v>16</v>
      </c>
      <c r="C364" s="1856" t="s">
        <v>2885</v>
      </c>
      <c r="D364" s="1856" t="s">
        <v>2886</v>
      </c>
      <c r="E364" s="1856" t="s">
        <v>2887</v>
      </c>
      <c r="F364" s="1856" t="s">
        <v>2888</v>
      </c>
      <c r="G364" s="1856" t="s">
        <v>2889</v>
      </c>
      <c r="H364" s="1856" t="s">
        <v>28</v>
      </c>
      <c r="I364" s="1856" t="s">
        <v>930</v>
      </c>
    </row>
    <row customHeight="1" ht="11.25">
      <c r="A365" s="1856" t="s">
        <v>2288</v>
      </c>
      <c r="B365" s="1856" t="s">
        <v>16</v>
      </c>
      <c r="C365" s="1856" t="s">
        <v>2890</v>
      </c>
      <c r="D365" s="1856" t="s">
        <v>2891</v>
      </c>
      <c r="E365" s="1856" t="s">
        <v>2892</v>
      </c>
      <c r="F365" s="1856" t="s">
        <v>2893</v>
      </c>
      <c r="G365" s="1856" t="s">
        <v>2894</v>
      </c>
      <c r="H365" s="1856" t="s">
        <v>28</v>
      </c>
      <c r="I365" s="1856" t="s">
        <v>930</v>
      </c>
    </row>
    <row customHeight="1" ht="11.25">
      <c r="A366" s="1856" t="s">
        <v>2288</v>
      </c>
      <c r="B366" s="1856" t="s">
        <v>16</v>
      </c>
      <c r="C366" s="1856" t="s">
        <v>2895</v>
      </c>
      <c r="D366" s="1856" t="s">
        <v>2896</v>
      </c>
      <c r="E366" s="1856" t="s">
        <v>2897</v>
      </c>
      <c r="F366" s="1856" t="s">
        <v>2788</v>
      </c>
      <c r="G366" s="1856" t="s">
        <v>2898</v>
      </c>
      <c r="H366" s="1856" t="s">
        <v>28</v>
      </c>
      <c r="I366" s="1856" t="s">
        <v>930</v>
      </c>
    </row>
    <row customHeight="1" ht="11.25">
      <c r="A367" s="1856" t="s">
        <v>2288</v>
      </c>
      <c r="B367" s="1856" t="s">
        <v>16</v>
      </c>
      <c r="C367" s="1856" t="s">
        <v>2899</v>
      </c>
      <c r="D367" s="1856" t="s">
        <v>2900</v>
      </c>
      <c r="E367" s="1856" t="s">
        <v>2901</v>
      </c>
      <c r="F367" s="1856" t="s">
        <v>2300</v>
      </c>
      <c r="G367" s="1856" t="s">
        <v>2902</v>
      </c>
      <c r="H367" s="1856" t="s">
        <v>28</v>
      </c>
      <c r="I367" s="1856" t="s">
        <v>930</v>
      </c>
    </row>
    <row customHeight="1" ht="11.25">
      <c r="A368" s="1856" t="s">
        <v>2288</v>
      </c>
      <c r="B368" s="1856" t="s">
        <v>16</v>
      </c>
      <c r="C368" s="1856" t="s">
        <v>2903</v>
      </c>
      <c r="D368" s="1856" t="s">
        <v>2904</v>
      </c>
      <c r="E368" s="1856" t="s">
        <v>2905</v>
      </c>
      <c r="F368" s="1856" t="s">
        <v>2333</v>
      </c>
      <c r="G368" s="1856" t="s">
        <v>2906</v>
      </c>
      <c r="H368" s="1856" t="s">
        <v>28</v>
      </c>
      <c r="I368" s="1856" t="s">
        <v>930</v>
      </c>
    </row>
    <row customHeight="1" ht="11.25">
      <c r="A369" s="1856" t="s">
        <v>2288</v>
      </c>
      <c r="B369" s="1856" t="s">
        <v>16</v>
      </c>
      <c r="C369" s="1856" t="s">
        <v>2911</v>
      </c>
      <c r="D369" s="1856" t="s">
        <v>2912</v>
      </c>
      <c r="E369" s="1856" t="s">
        <v>2913</v>
      </c>
      <c r="F369" s="1856" t="s">
        <v>2300</v>
      </c>
      <c r="G369" s="1856" t="s">
        <v>2914</v>
      </c>
      <c r="H369" s="1856" t="s">
        <v>28</v>
      </c>
      <c r="I369" s="1856" t="s">
        <v>930</v>
      </c>
    </row>
    <row customHeight="1" ht="11.25">
      <c r="A370" s="1856" t="s">
        <v>2288</v>
      </c>
      <c r="B370" s="1856" t="s">
        <v>16</v>
      </c>
      <c r="C370" s="1856" t="s">
        <v>2922</v>
      </c>
      <c r="D370" s="1856" t="s">
        <v>2923</v>
      </c>
      <c r="E370" s="1856" t="s">
        <v>2924</v>
      </c>
      <c r="F370" s="1856" t="s">
        <v>2687</v>
      </c>
      <c r="G370" s="1856" t="s">
        <v>2925</v>
      </c>
      <c r="H370" s="1856" t="s">
        <v>28</v>
      </c>
      <c r="I370" s="1856" t="s">
        <v>930</v>
      </c>
    </row>
    <row customHeight="1" ht="11.25">
      <c r="A371" s="1856" t="s">
        <v>2288</v>
      </c>
      <c r="B371" s="1856" t="s">
        <v>16</v>
      </c>
      <c r="C371" s="1856" t="s">
        <v>2926</v>
      </c>
      <c r="D371" s="1856" t="s">
        <v>2927</v>
      </c>
      <c r="E371" s="1856" t="s">
        <v>2928</v>
      </c>
      <c r="F371" s="1856" t="s">
        <v>2656</v>
      </c>
      <c r="G371" s="1856" t="s">
        <v>2929</v>
      </c>
      <c r="H371" s="1856" t="s">
        <v>28</v>
      </c>
      <c r="I371" s="1856" t="s">
        <v>930</v>
      </c>
    </row>
    <row customHeight="1" ht="11.25">
      <c r="A372" s="1856" t="s">
        <v>2288</v>
      </c>
      <c r="B372" s="1856" t="s">
        <v>16</v>
      </c>
      <c r="C372" s="1856" t="s">
        <v>2930</v>
      </c>
      <c r="D372" s="1856" t="s">
        <v>2931</v>
      </c>
      <c r="E372" s="1856" t="s">
        <v>2932</v>
      </c>
      <c r="F372" s="1856" t="s">
        <v>2300</v>
      </c>
      <c r="G372" s="1856" t="s">
        <v>2933</v>
      </c>
      <c r="H372" s="1856" t="s">
        <v>28</v>
      </c>
      <c r="I372" s="1856" t="s">
        <v>930</v>
      </c>
    </row>
    <row customHeight="1" ht="11.25">
      <c r="A373" s="1856" t="s">
        <v>2288</v>
      </c>
      <c r="B373" s="1856" t="s">
        <v>16</v>
      </c>
      <c r="C373" s="1856" t="s">
        <v>2934</v>
      </c>
      <c r="D373" s="1856" t="s">
        <v>2935</v>
      </c>
      <c r="E373" s="1856" t="s">
        <v>2936</v>
      </c>
      <c r="F373" s="1856" t="s">
        <v>2300</v>
      </c>
      <c r="G373" s="1856" t="s">
        <v>2937</v>
      </c>
      <c r="H373" s="1856" t="s">
        <v>28</v>
      </c>
      <c r="I373" s="1856" t="s">
        <v>930</v>
      </c>
    </row>
    <row customHeight="1" ht="11.25">
      <c r="A374" s="1856" t="s">
        <v>2288</v>
      </c>
      <c r="B374" s="1856" t="s">
        <v>16</v>
      </c>
      <c r="C374" s="1856" t="s">
        <v>2938</v>
      </c>
      <c r="D374" s="1856" t="s">
        <v>2939</v>
      </c>
      <c r="E374" s="1856" t="s">
        <v>2940</v>
      </c>
      <c r="F374" s="1856" t="s">
        <v>2333</v>
      </c>
      <c r="G374" s="1856" t="s">
        <v>2941</v>
      </c>
      <c r="H374" s="1856" t="s">
        <v>28</v>
      </c>
      <c r="I374" s="1856" t="s">
        <v>930</v>
      </c>
    </row>
    <row customHeight="1" ht="11.25">
      <c r="A375" s="1856" t="s">
        <v>2288</v>
      </c>
      <c r="B375" s="1856" t="s">
        <v>16</v>
      </c>
      <c r="C375" s="1856" t="s">
        <v>2942</v>
      </c>
      <c r="D375" s="1856" t="s">
        <v>2943</v>
      </c>
      <c r="E375" s="1856" t="s">
        <v>2944</v>
      </c>
      <c r="F375" s="1856" t="s">
        <v>2701</v>
      </c>
      <c r="G375" s="1856" t="s">
        <v>2945</v>
      </c>
      <c r="H375" s="1856" t="s">
        <v>28</v>
      </c>
      <c r="I375" s="1856" t="s">
        <v>930</v>
      </c>
    </row>
    <row customHeight="1" ht="11.25">
      <c r="A376" s="1856" t="s">
        <v>2288</v>
      </c>
      <c r="B376" s="1856" t="s">
        <v>16</v>
      </c>
      <c r="C376" s="1856" t="s">
        <v>2950</v>
      </c>
      <c r="D376" s="1856" t="s">
        <v>2951</v>
      </c>
      <c r="E376" s="1856" t="s">
        <v>2952</v>
      </c>
      <c r="F376" s="1856" t="s">
        <v>2665</v>
      </c>
      <c r="G376" s="1856" t="s">
        <v>2953</v>
      </c>
      <c r="H376" s="1856" t="s">
        <v>28</v>
      </c>
      <c r="I376" s="1856" t="s">
        <v>930</v>
      </c>
    </row>
    <row customHeight="1" ht="11.25">
      <c r="A377" s="1856" t="s">
        <v>2288</v>
      </c>
      <c r="B377" s="1856" t="s">
        <v>16</v>
      </c>
      <c r="C377" s="1856" t="s">
        <v>2973</v>
      </c>
      <c r="D377" s="1856" t="s">
        <v>2974</v>
      </c>
      <c r="E377" s="1856" t="s">
        <v>2975</v>
      </c>
      <c r="F377" s="1856" t="s">
        <v>2687</v>
      </c>
      <c r="G377" s="1856" t="s">
        <v>2976</v>
      </c>
      <c r="H377" s="1856" t="s">
        <v>28</v>
      </c>
      <c r="I377" s="1856" t="s">
        <v>930</v>
      </c>
    </row>
    <row customHeight="1" ht="11.25">
      <c r="A378" s="1856" t="s">
        <v>2288</v>
      </c>
      <c r="B378" s="1856" t="s">
        <v>16</v>
      </c>
      <c r="C378" s="1856" t="s">
        <v>2984</v>
      </c>
      <c r="D378" s="1856" t="s">
        <v>2985</v>
      </c>
      <c r="E378" s="1856" t="s">
        <v>2986</v>
      </c>
      <c r="F378" s="1856" t="s">
        <v>2646</v>
      </c>
      <c r="G378" s="1856" t="s">
        <v>2987</v>
      </c>
      <c r="H378" s="1856" t="s">
        <v>28</v>
      </c>
      <c r="I378" s="1856" t="s">
        <v>930</v>
      </c>
    </row>
    <row customHeight="1" ht="11.25">
      <c r="A379" s="1856" t="s">
        <v>2288</v>
      </c>
      <c r="B379" s="1856" t="s">
        <v>16</v>
      </c>
      <c r="C379" s="1856" t="s">
        <v>2992</v>
      </c>
      <c r="D379" s="1856" t="s">
        <v>2993</v>
      </c>
      <c r="E379" s="1856" t="s">
        <v>2994</v>
      </c>
      <c r="F379" s="1856" t="s">
        <v>2300</v>
      </c>
      <c r="G379" s="1856" t="s">
        <v>2995</v>
      </c>
      <c r="H379" s="1856" t="s">
        <v>28</v>
      </c>
      <c r="I379" s="1856" t="s">
        <v>930</v>
      </c>
    </row>
    <row customHeight="1" ht="11.25">
      <c r="A380" s="1856" t="s">
        <v>2288</v>
      </c>
      <c r="B380" s="1856" t="s">
        <v>16</v>
      </c>
      <c r="C380" s="1856" t="s">
        <v>3000</v>
      </c>
      <c r="D380" s="1856" t="s">
        <v>3001</v>
      </c>
      <c r="E380" s="1856" t="s">
        <v>3002</v>
      </c>
      <c r="F380" s="1856" t="s">
        <v>2656</v>
      </c>
      <c r="G380" s="1856" t="s">
        <v>3003</v>
      </c>
      <c r="H380" s="1856" t="s">
        <v>28</v>
      </c>
      <c r="I380" s="1856" t="s">
        <v>930</v>
      </c>
    </row>
    <row customHeight="1" ht="11.25">
      <c r="A381" s="1856" t="s">
        <v>2288</v>
      </c>
      <c r="B381" s="1856" t="s">
        <v>16</v>
      </c>
      <c r="C381" s="1856" t="s">
        <v>3004</v>
      </c>
      <c r="D381" s="1856" t="s">
        <v>3005</v>
      </c>
      <c r="E381" s="1856" t="s">
        <v>3006</v>
      </c>
      <c r="F381" s="1856" t="s">
        <v>2646</v>
      </c>
      <c r="G381" s="1856" t="s">
        <v>28</v>
      </c>
      <c r="H381" s="1856" t="s">
        <v>28</v>
      </c>
      <c r="I381" s="1856" t="s">
        <v>930</v>
      </c>
    </row>
    <row customHeight="1" ht="11.25">
      <c r="A382" s="1856" t="s">
        <v>2288</v>
      </c>
      <c r="B382" s="1856" t="s">
        <v>16</v>
      </c>
      <c r="C382" s="1856" t="s">
        <v>3007</v>
      </c>
      <c r="D382" s="1856" t="s">
        <v>3008</v>
      </c>
      <c r="E382" s="1856" t="s">
        <v>3009</v>
      </c>
      <c r="F382" s="1856" t="s">
        <v>2656</v>
      </c>
      <c r="G382" s="1856" t="s">
        <v>3010</v>
      </c>
      <c r="H382" s="1856" t="s">
        <v>28</v>
      </c>
      <c r="I382" s="1856" t="s">
        <v>930</v>
      </c>
    </row>
    <row customHeight="1" ht="11.25">
      <c r="A383" s="1856" t="s">
        <v>2288</v>
      </c>
      <c r="B383" s="1856" t="s">
        <v>16</v>
      </c>
      <c r="C383" s="1856" t="s">
        <v>3028</v>
      </c>
      <c r="D383" s="1856" t="s">
        <v>3029</v>
      </c>
      <c r="E383" s="1856" t="s">
        <v>3030</v>
      </c>
      <c r="F383" s="1856" t="s">
        <v>3031</v>
      </c>
      <c r="G383" s="1856" t="s">
        <v>3032</v>
      </c>
      <c r="H383" s="1856" t="s">
        <v>28</v>
      </c>
      <c r="I383" s="1856" t="s">
        <v>930</v>
      </c>
    </row>
    <row customHeight="1" ht="11.25">
      <c r="A384" s="1856" t="s">
        <v>2288</v>
      </c>
      <c r="B384" s="1856" t="s">
        <v>16</v>
      </c>
      <c r="C384" s="1856" t="s">
        <v>3037</v>
      </c>
      <c r="D384" s="1856" t="s">
        <v>3038</v>
      </c>
      <c r="E384" s="1856" t="s">
        <v>3039</v>
      </c>
      <c r="F384" s="1856" t="s">
        <v>2656</v>
      </c>
      <c r="G384" s="1856" t="s">
        <v>3040</v>
      </c>
      <c r="H384" s="1856" t="s">
        <v>28</v>
      </c>
      <c r="I384" s="1856" t="s">
        <v>930</v>
      </c>
    </row>
    <row customHeight="1" ht="11.25">
      <c r="A385" s="1856" t="s">
        <v>2288</v>
      </c>
      <c r="B385" s="1856" t="s">
        <v>16</v>
      </c>
      <c r="C385" s="1856" t="s">
        <v>3041</v>
      </c>
      <c r="D385" s="1856" t="s">
        <v>3042</v>
      </c>
      <c r="E385" s="1856" t="s">
        <v>3043</v>
      </c>
      <c r="F385" s="1856" t="s">
        <v>2646</v>
      </c>
      <c r="G385" s="1856" t="s">
        <v>3044</v>
      </c>
      <c r="H385" s="1856" t="s">
        <v>28</v>
      </c>
      <c r="I385" s="1856" t="s">
        <v>930</v>
      </c>
    </row>
    <row customHeight="1" ht="11.25">
      <c r="A386" s="1856" t="s">
        <v>2288</v>
      </c>
      <c r="B386" s="1856" t="s">
        <v>16</v>
      </c>
      <c r="C386" s="1856" t="s">
        <v>3045</v>
      </c>
      <c r="D386" s="1856" t="s">
        <v>3046</v>
      </c>
      <c r="E386" s="1856" t="s">
        <v>3047</v>
      </c>
      <c r="F386" s="1856" t="s">
        <v>2300</v>
      </c>
      <c r="G386" s="1856" t="s">
        <v>3048</v>
      </c>
      <c r="H386" s="1856" t="s">
        <v>28</v>
      </c>
      <c r="I386" s="1856" t="s">
        <v>930</v>
      </c>
    </row>
    <row customHeight="1" ht="11.25">
      <c r="A387" s="1856" t="s">
        <v>2288</v>
      </c>
      <c r="B387" s="1856" t="s">
        <v>16</v>
      </c>
      <c r="C387" s="1856" t="s">
        <v>3057</v>
      </c>
      <c r="D387" s="1856" t="s">
        <v>3058</v>
      </c>
      <c r="E387" s="1856" t="s">
        <v>3059</v>
      </c>
      <c r="F387" s="1856" t="s">
        <v>2300</v>
      </c>
      <c r="G387" s="1856" t="s">
        <v>3060</v>
      </c>
      <c r="H387" s="1856" t="s">
        <v>28</v>
      </c>
      <c r="I387" s="1856" t="s">
        <v>930</v>
      </c>
    </row>
    <row customHeight="1" ht="11.25">
      <c r="A388" s="1856" t="s">
        <v>2288</v>
      </c>
      <c r="B388" s="1856" t="s">
        <v>16</v>
      </c>
      <c r="C388" s="1856" t="s">
        <v>3073</v>
      </c>
      <c r="D388" s="1856" t="s">
        <v>3074</v>
      </c>
      <c r="E388" s="1856" t="s">
        <v>3075</v>
      </c>
      <c r="F388" s="1856" t="s">
        <v>2300</v>
      </c>
      <c r="G388" s="1856" t="s">
        <v>3076</v>
      </c>
      <c r="H388" s="1856" t="s">
        <v>28</v>
      </c>
      <c r="I388" s="1856" t="s">
        <v>930</v>
      </c>
    </row>
    <row customHeight="1" ht="11.25">
      <c r="A389" s="1856" t="s">
        <v>2288</v>
      </c>
      <c r="B389" s="1856" t="s">
        <v>16</v>
      </c>
      <c r="C389" s="1856" t="s">
        <v>3077</v>
      </c>
      <c r="D389" s="1856" t="s">
        <v>3078</v>
      </c>
      <c r="E389" s="1856" t="s">
        <v>3079</v>
      </c>
      <c r="F389" s="1856" t="s">
        <v>2300</v>
      </c>
      <c r="G389" s="1856" t="s">
        <v>3080</v>
      </c>
      <c r="H389" s="1856" t="s">
        <v>28</v>
      </c>
      <c r="I389" s="1856" t="s">
        <v>930</v>
      </c>
    </row>
    <row customHeight="1" ht="11.25">
      <c r="A390" s="1856" t="s">
        <v>2288</v>
      </c>
      <c r="B390" s="1856" t="s">
        <v>16</v>
      </c>
      <c r="C390" s="1856" t="s">
        <v>3081</v>
      </c>
      <c r="D390" s="1856" t="s">
        <v>3082</v>
      </c>
      <c r="E390" s="1856" t="s">
        <v>3083</v>
      </c>
      <c r="F390" s="1856" t="s">
        <v>2300</v>
      </c>
      <c r="G390" s="1856" t="s">
        <v>3084</v>
      </c>
      <c r="H390" s="1856" t="s">
        <v>28</v>
      </c>
      <c r="I390" s="1856" t="s">
        <v>930</v>
      </c>
    </row>
    <row customHeight="1" ht="11.25">
      <c r="A391" s="1856" t="s">
        <v>2288</v>
      </c>
      <c r="B391" s="1856" t="s">
        <v>16</v>
      </c>
      <c r="C391" s="1856" t="s">
        <v>3085</v>
      </c>
      <c r="D391" s="1856" t="s">
        <v>3086</v>
      </c>
      <c r="E391" s="1856" t="s">
        <v>3087</v>
      </c>
      <c r="F391" s="1856" t="s">
        <v>2300</v>
      </c>
      <c r="G391" s="1856" t="s">
        <v>3088</v>
      </c>
      <c r="H391" s="1856" t="s">
        <v>28</v>
      </c>
      <c r="I391" s="1856" t="s">
        <v>930</v>
      </c>
    </row>
    <row customHeight="1" ht="11.25">
      <c r="A392" s="1856" t="s">
        <v>2288</v>
      </c>
      <c r="B392" s="1856" t="s">
        <v>16</v>
      </c>
      <c r="C392" s="1856" t="s">
        <v>3089</v>
      </c>
      <c r="D392" s="1856" t="s">
        <v>3090</v>
      </c>
      <c r="E392" s="1856" t="s">
        <v>3091</v>
      </c>
      <c r="F392" s="1856" t="s">
        <v>2300</v>
      </c>
      <c r="G392" s="1856" t="s">
        <v>3092</v>
      </c>
      <c r="H392" s="1856" t="s">
        <v>28</v>
      </c>
      <c r="I392" s="1856" t="s">
        <v>930</v>
      </c>
    </row>
    <row customHeight="1" ht="11.25">
      <c r="A393" s="1856" t="s">
        <v>2288</v>
      </c>
      <c r="B393" s="1856" t="s">
        <v>16</v>
      </c>
      <c r="C393" s="1856" t="s">
        <v>3093</v>
      </c>
      <c r="D393" s="1856" t="s">
        <v>3094</v>
      </c>
      <c r="E393" s="1856" t="s">
        <v>3095</v>
      </c>
      <c r="F393" s="1856" t="s">
        <v>2300</v>
      </c>
      <c r="G393" s="1856" t="s">
        <v>3096</v>
      </c>
      <c r="H393" s="1856" t="s">
        <v>28</v>
      </c>
      <c r="I393" s="1856" t="s">
        <v>930</v>
      </c>
    </row>
    <row customHeight="1" ht="11.25">
      <c r="A394" s="1856" t="s">
        <v>2288</v>
      </c>
      <c r="B394" s="1856" t="s">
        <v>16</v>
      </c>
      <c r="C394" s="1856" t="s">
        <v>3101</v>
      </c>
      <c r="D394" s="1856" t="s">
        <v>3102</v>
      </c>
      <c r="E394" s="1856" t="s">
        <v>3103</v>
      </c>
      <c r="F394" s="1856" t="s">
        <v>2646</v>
      </c>
      <c r="G394" s="1856" t="s">
        <v>3104</v>
      </c>
      <c r="H394" s="1856" t="s">
        <v>28</v>
      </c>
      <c r="I394" s="1856" t="s">
        <v>930</v>
      </c>
    </row>
    <row customHeight="1" ht="11.25">
      <c r="A395" s="1856" t="s">
        <v>2288</v>
      </c>
      <c r="B395" s="1856" t="s">
        <v>16</v>
      </c>
      <c r="C395" s="1856" t="s">
        <v>3110</v>
      </c>
      <c r="D395" s="1856" t="s">
        <v>3111</v>
      </c>
      <c r="E395" s="1856" t="s">
        <v>3112</v>
      </c>
      <c r="F395" s="1856" t="s">
        <v>2300</v>
      </c>
      <c r="G395" s="1856" t="s">
        <v>3113</v>
      </c>
      <c r="H395" s="1856" t="s">
        <v>28</v>
      </c>
      <c r="I395" s="1856" t="s">
        <v>930</v>
      </c>
    </row>
    <row customHeight="1" ht="11.25">
      <c r="A396" s="1856" t="s">
        <v>2288</v>
      </c>
      <c r="B396" s="1856" t="s">
        <v>16</v>
      </c>
      <c r="C396" s="1856" t="s">
        <v>3114</v>
      </c>
      <c r="D396" s="1856" t="s">
        <v>3115</v>
      </c>
      <c r="E396" s="1856" t="s">
        <v>3116</v>
      </c>
      <c r="F396" s="1856" t="s">
        <v>2333</v>
      </c>
      <c r="G396" s="1856" t="s">
        <v>3117</v>
      </c>
      <c r="H396" s="1856" t="s">
        <v>28</v>
      </c>
      <c r="I396" s="1856" t="s">
        <v>930</v>
      </c>
    </row>
    <row customHeight="1" ht="11.25">
      <c r="A397" s="1856" t="s">
        <v>2288</v>
      </c>
      <c r="B397" s="1856" t="s">
        <v>16</v>
      </c>
      <c r="C397" s="1856" t="s">
        <v>3118</v>
      </c>
      <c r="D397" s="1856" t="s">
        <v>3119</v>
      </c>
      <c r="E397" s="1856" t="s">
        <v>3120</v>
      </c>
      <c r="F397" s="1856" t="s">
        <v>3121</v>
      </c>
      <c r="G397" s="1856" t="s">
        <v>28</v>
      </c>
      <c r="H397" s="1856" t="s">
        <v>28</v>
      </c>
      <c r="I397" s="1856" t="s">
        <v>930</v>
      </c>
    </row>
    <row customHeight="1" ht="11.25">
      <c r="A398" s="1856" t="s">
        <v>2288</v>
      </c>
      <c r="B398" s="1856" t="s">
        <v>16</v>
      </c>
      <c r="C398" s="1856" t="s">
        <v>3126</v>
      </c>
      <c r="D398" s="1856" t="s">
        <v>3127</v>
      </c>
      <c r="E398" s="1856" t="s">
        <v>3128</v>
      </c>
      <c r="F398" s="1856" t="s">
        <v>2646</v>
      </c>
      <c r="G398" s="1856" t="s">
        <v>3129</v>
      </c>
      <c r="H398" s="1856" t="s">
        <v>28</v>
      </c>
      <c r="I398" s="1856" t="s">
        <v>930</v>
      </c>
    </row>
    <row customHeight="1" ht="11.25">
      <c r="A399" s="1856" t="s">
        <v>2288</v>
      </c>
      <c r="B399" s="1856" t="s">
        <v>16</v>
      </c>
      <c r="C399" s="1856" t="s">
        <v>3130</v>
      </c>
      <c r="D399" s="1856" t="s">
        <v>3131</v>
      </c>
      <c r="E399" s="1856" t="s">
        <v>3132</v>
      </c>
      <c r="F399" s="1856" t="s">
        <v>2300</v>
      </c>
      <c r="G399" s="1856" t="s">
        <v>3133</v>
      </c>
      <c r="H399" s="1856" t="s">
        <v>28</v>
      </c>
      <c r="I399" s="1856" t="s">
        <v>930</v>
      </c>
    </row>
    <row customHeight="1" ht="11.25">
      <c r="A400" s="1856" t="s">
        <v>2288</v>
      </c>
      <c r="B400" s="1856" t="s">
        <v>16</v>
      </c>
      <c r="C400" s="1856" t="s">
        <v>3267</v>
      </c>
      <c r="D400" s="1856" t="s">
        <v>3268</v>
      </c>
      <c r="E400" s="1856" t="s">
        <v>3269</v>
      </c>
      <c r="F400" s="1856" t="s">
        <v>2674</v>
      </c>
      <c r="G400" s="1856" t="s">
        <v>3270</v>
      </c>
      <c r="H400" s="1856" t="s">
        <v>28</v>
      </c>
      <c r="I400" s="1856" t="s">
        <v>930</v>
      </c>
    </row>
    <row customHeight="1" ht="11.25">
      <c r="A401" s="1856" t="s">
        <v>2288</v>
      </c>
      <c r="B401" s="1856" t="s">
        <v>16</v>
      </c>
      <c r="C401" s="1856" t="s">
        <v>3134</v>
      </c>
      <c r="D401" s="1856" t="s">
        <v>3135</v>
      </c>
      <c r="E401" s="1856" t="s">
        <v>3136</v>
      </c>
      <c r="F401" s="1856" t="s">
        <v>3108</v>
      </c>
      <c r="G401" s="1856" t="s">
        <v>3137</v>
      </c>
      <c r="H401" s="1856" t="s">
        <v>28</v>
      </c>
      <c r="I401" s="1856" t="s">
        <v>930</v>
      </c>
    </row>
    <row customHeight="1" ht="11.25">
      <c r="A402" s="1856" t="s">
        <v>2288</v>
      </c>
      <c r="B402" s="1856" t="s">
        <v>16</v>
      </c>
      <c r="C402" s="1856" t="s">
        <v>3138</v>
      </c>
      <c r="D402" s="1856" t="s">
        <v>3139</v>
      </c>
      <c r="E402" s="1856" t="s">
        <v>3140</v>
      </c>
      <c r="F402" s="1856" t="s">
        <v>2300</v>
      </c>
      <c r="G402" s="1856" t="s">
        <v>3141</v>
      </c>
      <c r="H402" s="1856" t="s">
        <v>28</v>
      </c>
      <c r="I402" s="1856" t="s">
        <v>930</v>
      </c>
    </row>
    <row customHeight="1" ht="11.25">
      <c r="A403" s="1856" t="s">
        <v>2288</v>
      </c>
      <c r="B403" s="1856" t="s">
        <v>16</v>
      </c>
      <c r="C403" s="1856" t="s">
        <v>3142</v>
      </c>
      <c r="D403" s="1856" t="s">
        <v>3143</v>
      </c>
      <c r="E403" s="1856" t="s">
        <v>3144</v>
      </c>
      <c r="F403" s="1856" t="s">
        <v>2300</v>
      </c>
      <c r="G403" s="1856" t="s">
        <v>3145</v>
      </c>
      <c r="H403" s="1856" t="s">
        <v>28</v>
      </c>
      <c r="I403" s="1856" t="s">
        <v>930</v>
      </c>
    </row>
    <row customHeight="1" ht="11.25">
      <c r="A404" s="1856" t="s">
        <v>2288</v>
      </c>
      <c r="B404" s="1856" t="s">
        <v>16</v>
      </c>
      <c r="C404" s="1856" t="s">
        <v>3146</v>
      </c>
      <c r="D404" s="1856" t="s">
        <v>3147</v>
      </c>
      <c r="E404" s="1856" t="s">
        <v>3148</v>
      </c>
      <c r="F404" s="1856" t="s">
        <v>2687</v>
      </c>
      <c r="G404" s="1856" t="s">
        <v>3149</v>
      </c>
      <c r="H404" s="1856" t="s">
        <v>28</v>
      </c>
      <c r="I404" s="1856" t="s">
        <v>930</v>
      </c>
    </row>
    <row customHeight="1" ht="11.25">
      <c r="A405" s="1856" t="s">
        <v>2288</v>
      </c>
      <c r="B405" s="1856" t="s">
        <v>16</v>
      </c>
      <c r="C405" s="1856" t="s">
        <v>3150</v>
      </c>
      <c r="D405" s="1856" t="s">
        <v>3151</v>
      </c>
      <c r="E405" s="1856" t="s">
        <v>3152</v>
      </c>
      <c r="F405" s="1856" t="s">
        <v>2400</v>
      </c>
      <c r="G405" s="1856" t="s">
        <v>3153</v>
      </c>
      <c r="H405" s="1856" t="s">
        <v>28</v>
      </c>
      <c r="I405" s="1856" t="s">
        <v>930</v>
      </c>
    </row>
    <row customHeight="1" ht="11.25">
      <c r="A406" s="1856" t="s">
        <v>2288</v>
      </c>
      <c r="B406" s="1856" t="s">
        <v>16</v>
      </c>
      <c r="C406" s="1856" t="s">
        <v>3154</v>
      </c>
      <c r="D406" s="1856" t="s">
        <v>3155</v>
      </c>
      <c r="E406" s="1856" t="s">
        <v>3156</v>
      </c>
      <c r="F406" s="1856" t="s">
        <v>2400</v>
      </c>
      <c r="G406" s="1856" t="s">
        <v>3157</v>
      </c>
      <c r="H406" s="1856" t="s">
        <v>28</v>
      </c>
      <c r="I406" s="1856" t="s">
        <v>930</v>
      </c>
    </row>
    <row customHeight="1" ht="11.25">
      <c r="A407" s="1856" t="s">
        <v>2288</v>
      </c>
      <c r="B407" s="1856" t="s">
        <v>16</v>
      </c>
      <c r="C407" s="1856" t="s">
        <v>3158</v>
      </c>
      <c r="D407" s="1856" t="s">
        <v>3159</v>
      </c>
      <c r="E407" s="1856" t="s">
        <v>3160</v>
      </c>
      <c r="F407" s="1856" t="s">
        <v>2300</v>
      </c>
      <c r="G407" s="1856" t="s">
        <v>3161</v>
      </c>
      <c r="H407" s="1856" t="s">
        <v>28</v>
      </c>
      <c r="I407" s="1856" t="s">
        <v>930</v>
      </c>
    </row>
    <row customHeight="1" ht="11.25">
      <c r="A408" s="1856" t="s">
        <v>2288</v>
      </c>
      <c r="B408" s="1856" t="s">
        <v>16</v>
      </c>
      <c r="C408" s="1856" t="s">
        <v>3166</v>
      </c>
      <c r="D408" s="1856" t="s">
        <v>3167</v>
      </c>
      <c r="E408" s="1856" t="s">
        <v>2425</v>
      </c>
      <c r="F408" s="1856" t="s">
        <v>2376</v>
      </c>
      <c r="G408" s="1856" t="s">
        <v>3168</v>
      </c>
      <c r="H408" s="1856" t="s">
        <v>28</v>
      </c>
      <c r="I408" s="1856" t="s">
        <v>930</v>
      </c>
    </row>
    <row customHeight="1" ht="11.25">
      <c r="A409" s="1856" t="s">
        <v>2288</v>
      </c>
      <c r="B409" s="1856" t="s">
        <v>16</v>
      </c>
      <c r="C409" s="1856" t="s">
        <v>3177</v>
      </c>
      <c r="D409" s="1856" t="s">
        <v>3178</v>
      </c>
      <c r="E409" s="1856" t="s">
        <v>3179</v>
      </c>
      <c r="F409" s="1856" t="s">
        <v>3180</v>
      </c>
      <c r="G409" s="1856" t="s">
        <v>3181</v>
      </c>
      <c r="H409" s="1856" t="s">
        <v>28</v>
      </c>
      <c r="I409" s="1856" t="s">
        <v>930</v>
      </c>
    </row>
    <row customHeight="1" ht="11.25">
      <c r="A410" s="1856" t="s">
        <v>2288</v>
      </c>
      <c r="B410" s="1856" t="s">
        <v>16</v>
      </c>
      <c r="C410" s="1856" t="s">
        <v>3184</v>
      </c>
      <c r="D410" s="1856" t="s">
        <v>3185</v>
      </c>
      <c r="E410" s="1856" t="s">
        <v>3179</v>
      </c>
      <c r="F410" s="1856" t="s">
        <v>3186</v>
      </c>
      <c r="G410" s="1856" t="s">
        <v>3187</v>
      </c>
      <c r="H410" s="1856" t="s">
        <v>28</v>
      </c>
      <c r="I410" s="1856" t="s">
        <v>930</v>
      </c>
    </row>
    <row customHeight="1" ht="11.25">
      <c r="A411" s="1856" t="s">
        <v>2288</v>
      </c>
      <c r="B411" s="1856" t="s">
        <v>16</v>
      </c>
      <c r="C411" s="1856" t="s">
        <v>3193</v>
      </c>
      <c r="D411" s="1856" t="s">
        <v>3194</v>
      </c>
      <c r="E411" s="1856" t="s">
        <v>3195</v>
      </c>
      <c r="F411" s="1856" t="s">
        <v>2300</v>
      </c>
      <c r="G411" s="1856" t="s">
        <v>3196</v>
      </c>
      <c r="H411" s="1856" t="s">
        <v>28</v>
      </c>
      <c r="I411" s="1856" t="s">
        <v>930</v>
      </c>
    </row>
    <row customHeight="1" ht="11.25">
      <c r="A412" s="1856" t="s">
        <v>2288</v>
      </c>
      <c r="B412" s="1856" t="s">
        <v>16</v>
      </c>
      <c r="C412" s="1856" t="s">
        <v>3197</v>
      </c>
      <c r="D412" s="1856" t="s">
        <v>3198</v>
      </c>
      <c r="E412" s="1856" t="s">
        <v>3199</v>
      </c>
      <c r="F412" s="1856" t="s">
        <v>2692</v>
      </c>
      <c r="G412" s="1856" t="s">
        <v>3200</v>
      </c>
      <c r="H412" s="1856" t="s">
        <v>28</v>
      </c>
      <c r="I412" s="1856" t="s">
        <v>930</v>
      </c>
    </row>
    <row customHeight="1" ht="11.25">
      <c r="A413" s="1856" t="s">
        <v>2288</v>
      </c>
      <c r="B413" s="1856" t="s">
        <v>16</v>
      </c>
      <c r="C413" s="1856" t="s">
        <v>3208</v>
      </c>
      <c r="D413" s="1856" t="s">
        <v>3209</v>
      </c>
      <c r="E413" s="1856" t="s">
        <v>3210</v>
      </c>
      <c r="F413" s="1856" t="s">
        <v>2300</v>
      </c>
      <c r="G413" s="1856" t="s">
        <v>3211</v>
      </c>
      <c r="H413" s="1856" t="s">
        <v>28</v>
      </c>
      <c r="I413" s="1856" t="s">
        <v>930</v>
      </c>
    </row>
    <row customHeight="1" ht="11.25">
      <c r="A414" s="1856" t="s">
        <v>2288</v>
      </c>
      <c r="B414" s="1856" t="s">
        <v>16</v>
      </c>
      <c r="C414" s="1856" t="s">
        <v>3217</v>
      </c>
      <c r="D414" s="1856" t="s">
        <v>3218</v>
      </c>
      <c r="E414" s="1856" t="s">
        <v>3219</v>
      </c>
      <c r="F414" s="1856" t="s">
        <v>2665</v>
      </c>
      <c r="G414" s="1856" t="s">
        <v>3220</v>
      </c>
      <c r="H414" s="1856" t="s">
        <v>28</v>
      </c>
      <c r="I414" s="1856" t="s">
        <v>930</v>
      </c>
    </row>
    <row customHeight="1" ht="11.25">
      <c r="A415" s="1856" t="s">
        <v>2288</v>
      </c>
      <c r="B415" s="1856" t="s">
        <v>16</v>
      </c>
      <c r="C415" s="1856" t="s">
        <v>3221</v>
      </c>
      <c r="D415" s="1856" t="s">
        <v>3222</v>
      </c>
      <c r="E415" s="1856" t="s">
        <v>3214</v>
      </c>
      <c r="F415" s="1856" t="s">
        <v>2483</v>
      </c>
      <c r="G415" s="1856" t="s">
        <v>3223</v>
      </c>
      <c r="H415" s="1856" t="s">
        <v>28</v>
      </c>
      <c r="I415" s="1856" t="s">
        <v>930</v>
      </c>
    </row>
    <row customHeight="1" ht="11.25">
      <c r="A416" s="1856" t="s">
        <v>2288</v>
      </c>
      <c r="B416" s="1856" t="s">
        <v>16</v>
      </c>
      <c r="C416" s="1856" t="s">
        <v>3224</v>
      </c>
      <c r="D416" s="1856" t="s">
        <v>3225</v>
      </c>
      <c r="E416" s="1856" t="s">
        <v>2425</v>
      </c>
      <c r="F416" s="1856" t="s">
        <v>3226</v>
      </c>
      <c r="G416" s="1856" t="s">
        <v>2436</v>
      </c>
      <c r="H416" s="1856" t="s">
        <v>28</v>
      </c>
      <c r="I416" s="1856" t="s">
        <v>930</v>
      </c>
    </row>
    <row customHeight="1" ht="11.25">
      <c r="A417" s="1856" t="s">
        <v>2288</v>
      </c>
      <c r="B417" s="1856" t="s">
        <v>16</v>
      </c>
      <c r="C417" s="1856" t="s">
        <v>3227</v>
      </c>
      <c r="D417" s="1856" t="s">
        <v>3228</v>
      </c>
      <c r="E417" s="1856" t="s">
        <v>2425</v>
      </c>
      <c r="F417" s="1856" t="s">
        <v>3229</v>
      </c>
      <c r="G417" s="1856" t="s">
        <v>2436</v>
      </c>
      <c r="H417" s="1856" t="s">
        <v>28</v>
      </c>
      <c r="I417" s="1856" t="s">
        <v>930</v>
      </c>
    </row>
    <row customHeight="1" ht="11.25">
      <c r="A418" s="1856" t="s">
        <v>2288</v>
      </c>
      <c r="B418" s="1856" t="s">
        <v>16</v>
      </c>
      <c r="C418" s="1856" t="s">
        <v>3230</v>
      </c>
      <c r="D418" s="1856" t="s">
        <v>3231</v>
      </c>
      <c r="E418" s="1856" t="s">
        <v>3232</v>
      </c>
      <c r="F418" s="1856" t="s">
        <v>2300</v>
      </c>
      <c r="G418" s="1856" t="s">
        <v>3233</v>
      </c>
      <c r="H418" s="1856" t="s">
        <v>28</v>
      </c>
      <c r="I418" s="1856" t="s">
        <v>930</v>
      </c>
    </row>
    <row customHeight="1" ht="11.25">
      <c r="A419" s="1856" t="s">
        <v>2288</v>
      </c>
      <c r="B419" s="1856" t="s">
        <v>16</v>
      </c>
      <c r="C419" s="1856" t="s">
        <v>3234</v>
      </c>
      <c r="D419" s="1856" t="s">
        <v>3235</v>
      </c>
      <c r="E419" s="1856" t="s">
        <v>3236</v>
      </c>
      <c r="F419" s="1856" t="s">
        <v>2651</v>
      </c>
      <c r="G419" s="1856" t="s">
        <v>28</v>
      </c>
      <c r="H419" s="1856" t="s">
        <v>28</v>
      </c>
      <c r="I419" s="1856" t="s">
        <v>930</v>
      </c>
    </row>
    <row customHeight="1" ht="11.25">
      <c r="A420" s="1856" t="s">
        <v>2288</v>
      </c>
      <c r="B420" s="1856" t="s">
        <v>16</v>
      </c>
      <c r="C420" s="1856" t="s">
        <v>3237</v>
      </c>
      <c r="D420" s="1856" t="s">
        <v>3238</v>
      </c>
      <c r="E420" s="1856" t="s">
        <v>2547</v>
      </c>
      <c r="F420" s="1856" t="s">
        <v>3239</v>
      </c>
      <c r="G420" s="1856" t="s">
        <v>3240</v>
      </c>
      <c r="H420" s="1856" t="s">
        <v>28</v>
      </c>
      <c r="I420" s="1856" t="s">
        <v>930</v>
      </c>
    </row>
    <row customHeight="1" ht="11.25">
      <c r="A421" s="1856" t="s">
        <v>2288</v>
      </c>
      <c r="B421" s="1856" t="s">
        <v>16</v>
      </c>
      <c r="C421" s="1856" t="s">
        <v>3241</v>
      </c>
      <c r="D421" s="1856" t="s">
        <v>3242</v>
      </c>
      <c r="E421" s="1856" t="s">
        <v>3243</v>
      </c>
      <c r="F421" s="1856" t="s">
        <v>2300</v>
      </c>
      <c r="G421" s="1856" t="s">
        <v>3244</v>
      </c>
      <c r="H421" s="1856" t="s">
        <v>28</v>
      </c>
      <c r="I421" s="1856" t="s">
        <v>930</v>
      </c>
    </row>
    <row customHeight="1" ht="11.25">
      <c r="A422" s="1856" t="s">
        <v>2288</v>
      </c>
      <c r="B422" s="1856" t="s">
        <v>16</v>
      </c>
      <c r="C422" s="1856" t="s">
        <v>3245</v>
      </c>
      <c r="D422" s="1856" t="s">
        <v>3246</v>
      </c>
      <c r="E422" s="1856" t="s">
        <v>3243</v>
      </c>
      <c r="F422" s="1856" t="s">
        <v>2646</v>
      </c>
      <c r="G422" s="1856" t="s">
        <v>28</v>
      </c>
      <c r="H422" s="1856" t="s">
        <v>28</v>
      </c>
      <c r="I422" s="1856" t="s">
        <v>930</v>
      </c>
    </row>
    <row customHeight="1" ht="11.25">
      <c r="A423" s="1856" t="s">
        <v>2288</v>
      </c>
      <c r="B423" s="1856" t="s">
        <v>16</v>
      </c>
      <c r="C423" s="1856" t="s">
        <v>3263</v>
      </c>
      <c r="D423" s="1856" t="s">
        <v>3264</v>
      </c>
      <c r="E423" s="1856" t="s">
        <v>2430</v>
      </c>
      <c r="F423" s="1856" t="s">
        <v>2400</v>
      </c>
      <c r="G423" s="1856" t="s">
        <v>2432</v>
      </c>
      <c r="H423" s="1856" t="s">
        <v>28</v>
      </c>
      <c r="I423" s="1856" t="s">
        <v>930</v>
      </c>
    </row>
    <row customHeight="1" ht="11.25">
      <c r="A424" s="1856" t="s">
        <v>2288</v>
      </c>
      <c r="B424" s="1856" t="s">
        <v>16</v>
      </c>
      <c r="C424" s="1856" t="s">
        <v>2294</v>
      </c>
      <c r="D424" s="1856" t="s">
        <v>2295</v>
      </c>
      <c r="E424" s="1856" t="s">
        <v>2291</v>
      </c>
      <c r="F424" s="1856" t="s">
        <v>2296</v>
      </c>
      <c r="G424" s="1856" t="s">
        <v>2293</v>
      </c>
      <c r="H424" s="1856" t="s">
        <v>28</v>
      </c>
      <c r="I424" s="1856" t="s">
        <v>890</v>
      </c>
    </row>
    <row customHeight="1" ht="11.25">
      <c r="A425" s="1856" t="s">
        <v>2288</v>
      </c>
      <c r="B425" s="1856" t="s">
        <v>16</v>
      </c>
      <c r="C425" s="1856" t="s">
        <v>2297</v>
      </c>
      <c r="D425" s="1856" t="s">
        <v>2298</v>
      </c>
      <c r="E425" s="1856" t="s">
        <v>2299</v>
      </c>
      <c r="F425" s="1856" t="s">
        <v>2300</v>
      </c>
      <c r="G425" s="1856" t="s">
        <v>2301</v>
      </c>
      <c r="H425" s="1856" t="s">
        <v>28</v>
      </c>
      <c r="I425" s="1856" t="s">
        <v>890</v>
      </c>
    </row>
    <row customHeight="1" ht="11.25">
      <c r="A426" s="1856" t="s">
        <v>2288</v>
      </c>
      <c r="B426" s="1856" t="s">
        <v>16</v>
      </c>
      <c r="C426" s="1856" t="s">
        <v>2302</v>
      </c>
      <c r="D426" s="1856" t="s">
        <v>2303</v>
      </c>
      <c r="E426" s="1856" t="s">
        <v>2304</v>
      </c>
      <c r="F426" s="1856" t="s">
        <v>2305</v>
      </c>
      <c r="G426" s="1856" t="s">
        <v>28</v>
      </c>
      <c r="H426" s="1856" t="s">
        <v>28</v>
      </c>
      <c r="I426" s="1856" t="s">
        <v>890</v>
      </c>
    </row>
    <row customHeight="1" ht="11.25">
      <c r="A427" s="1856" t="s">
        <v>2288</v>
      </c>
      <c r="B427" s="1856" t="s">
        <v>16</v>
      </c>
      <c r="C427" s="1856" t="s">
        <v>2306</v>
      </c>
      <c r="D427" s="1856" t="s">
        <v>2303</v>
      </c>
      <c r="E427" s="1856" t="s">
        <v>2304</v>
      </c>
      <c r="F427" s="1856" t="s">
        <v>2307</v>
      </c>
      <c r="G427" s="1856" t="s">
        <v>28</v>
      </c>
      <c r="H427" s="1856" t="s">
        <v>28</v>
      </c>
      <c r="I427" s="1856" t="s">
        <v>890</v>
      </c>
    </row>
    <row customHeight="1" ht="11.25">
      <c r="A428" s="1856" t="s">
        <v>2288</v>
      </c>
      <c r="B428" s="1856" t="s">
        <v>16</v>
      </c>
      <c r="C428" s="1856" t="s">
        <v>3271</v>
      </c>
      <c r="D428" s="1856" t="s">
        <v>2303</v>
      </c>
      <c r="E428" s="1856" t="s">
        <v>2304</v>
      </c>
      <c r="F428" s="1856" t="s">
        <v>3272</v>
      </c>
      <c r="G428" s="1856" t="s">
        <v>3273</v>
      </c>
      <c r="H428" s="1856" t="s">
        <v>28</v>
      </c>
      <c r="I428" s="1856" t="s">
        <v>890</v>
      </c>
    </row>
    <row customHeight="1" ht="11.25">
      <c r="A429" s="1856" t="s">
        <v>2288</v>
      </c>
      <c r="B429" s="1856" t="s">
        <v>16</v>
      </c>
      <c r="C429" s="1856" t="s">
        <v>2325</v>
      </c>
      <c r="D429" s="1856" t="s">
        <v>2326</v>
      </c>
      <c r="E429" s="1856" t="s">
        <v>2327</v>
      </c>
      <c r="F429" s="1856" t="s">
        <v>2328</v>
      </c>
      <c r="G429" s="1856" t="s">
        <v>2329</v>
      </c>
      <c r="H429" s="1856" t="s">
        <v>28</v>
      </c>
      <c r="I429" s="1856" t="s">
        <v>890</v>
      </c>
    </row>
    <row customHeight="1" ht="11.25">
      <c r="A430" s="1856" t="s">
        <v>2288</v>
      </c>
      <c r="B430" s="1856" t="s">
        <v>16</v>
      </c>
      <c r="C430" s="1856" t="s">
        <v>3274</v>
      </c>
      <c r="D430" s="1856" t="s">
        <v>3275</v>
      </c>
      <c r="E430" s="1856" t="s">
        <v>3276</v>
      </c>
      <c r="F430" s="1856" t="s">
        <v>2840</v>
      </c>
      <c r="G430" s="1856" t="s">
        <v>3277</v>
      </c>
      <c r="H430" s="1856" t="s">
        <v>28</v>
      </c>
      <c r="I430" s="1856" t="s">
        <v>890</v>
      </c>
    </row>
    <row customHeight="1" ht="11.25">
      <c r="A431" s="1856" t="s">
        <v>2288</v>
      </c>
      <c r="B431" s="1856" t="s">
        <v>16</v>
      </c>
      <c r="C431" s="1856" t="s">
        <v>2335</v>
      </c>
      <c r="D431" s="1856" t="s">
        <v>2336</v>
      </c>
      <c r="E431" s="1856" t="s">
        <v>2337</v>
      </c>
      <c r="F431" s="1856" t="s">
        <v>2338</v>
      </c>
      <c r="G431" s="1856" t="s">
        <v>2339</v>
      </c>
      <c r="H431" s="1856" t="s">
        <v>28</v>
      </c>
      <c r="I431" s="1856" t="s">
        <v>890</v>
      </c>
    </row>
    <row customHeight="1" ht="11.25">
      <c r="A432" s="1856" t="s">
        <v>2288</v>
      </c>
      <c r="B432" s="1856" t="s">
        <v>16</v>
      </c>
      <c r="C432" s="1856" t="s">
        <v>2346</v>
      </c>
      <c r="D432" s="1856" t="s">
        <v>2347</v>
      </c>
      <c r="E432" s="1856" t="s">
        <v>2337</v>
      </c>
      <c r="F432" s="1856" t="s">
        <v>2348</v>
      </c>
      <c r="G432" s="1856" t="s">
        <v>2339</v>
      </c>
      <c r="H432" s="1856" t="s">
        <v>28</v>
      </c>
      <c r="I432" s="1856" t="s">
        <v>890</v>
      </c>
    </row>
    <row customHeight="1" ht="11.25">
      <c r="A433" s="1856" t="s">
        <v>2288</v>
      </c>
      <c r="B433" s="1856" t="s">
        <v>16</v>
      </c>
      <c r="C433" s="1856" t="s">
        <v>2349</v>
      </c>
      <c r="D433" s="1856" t="s">
        <v>2350</v>
      </c>
      <c r="E433" s="1856" t="s">
        <v>2337</v>
      </c>
      <c r="F433" s="1856" t="s">
        <v>2351</v>
      </c>
      <c r="G433" s="1856" t="s">
        <v>2339</v>
      </c>
      <c r="H433" s="1856" t="s">
        <v>28</v>
      </c>
      <c r="I433" s="1856" t="s">
        <v>890</v>
      </c>
    </row>
    <row customHeight="1" ht="11.25">
      <c r="A434" s="1856" t="s">
        <v>2288</v>
      </c>
      <c r="B434" s="1856" t="s">
        <v>16</v>
      </c>
      <c r="C434" s="1856" t="s">
        <v>2361</v>
      </c>
      <c r="D434" s="1856" t="s">
        <v>2362</v>
      </c>
      <c r="E434" s="1856" t="s">
        <v>2363</v>
      </c>
      <c r="F434" s="1856" t="s">
        <v>2338</v>
      </c>
      <c r="G434" s="1856" t="s">
        <v>2364</v>
      </c>
      <c r="H434" s="1856" t="s">
        <v>28</v>
      </c>
      <c r="I434" s="1856" t="s">
        <v>890</v>
      </c>
    </row>
    <row customHeight="1" ht="11.25">
      <c r="A435" s="1856" t="s">
        <v>2288</v>
      </c>
      <c r="B435" s="1856" t="s">
        <v>16</v>
      </c>
      <c r="C435" s="1856" t="s">
        <v>3278</v>
      </c>
      <c r="D435" s="1856" t="s">
        <v>3279</v>
      </c>
      <c r="E435" s="1856" t="s">
        <v>2363</v>
      </c>
      <c r="F435" s="1856" t="s">
        <v>2480</v>
      </c>
      <c r="G435" s="1856" t="s">
        <v>3280</v>
      </c>
      <c r="H435" s="1856" t="s">
        <v>28</v>
      </c>
      <c r="I435" s="1856" t="s">
        <v>890</v>
      </c>
    </row>
    <row customHeight="1" ht="11.25">
      <c r="A436" s="1856" t="s">
        <v>2288</v>
      </c>
      <c r="B436" s="1856" t="s">
        <v>16</v>
      </c>
      <c r="C436" s="1856" t="s">
        <v>2368</v>
      </c>
      <c r="D436" s="1856" t="s">
        <v>2369</v>
      </c>
      <c r="E436" s="1856" t="s">
        <v>2363</v>
      </c>
      <c r="F436" s="1856" t="s">
        <v>2370</v>
      </c>
      <c r="G436" s="1856" t="s">
        <v>2364</v>
      </c>
      <c r="H436" s="1856" t="s">
        <v>28</v>
      </c>
      <c r="I436" s="1856" t="s">
        <v>890</v>
      </c>
    </row>
    <row customHeight="1" ht="11.25">
      <c r="A437" s="1856" t="s">
        <v>2288</v>
      </c>
      <c r="B437" s="1856" t="s">
        <v>16</v>
      </c>
      <c r="C437" s="1856" t="s">
        <v>2374</v>
      </c>
      <c r="D437" s="1856" t="s">
        <v>2375</v>
      </c>
      <c r="E437" s="1856" t="s">
        <v>2363</v>
      </c>
      <c r="F437" s="1856" t="s">
        <v>2376</v>
      </c>
      <c r="G437" s="1856" t="s">
        <v>2364</v>
      </c>
      <c r="H437" s="1856" t="s">
        <v>28</v>
      </c>
      <c r="I437" s="1856" t="s">
        <v>890</v>
      </c>
    </row>
    <row customHeight="1" ht="11.25">
      <c r="A438" s="1856" t="s">
        <v>2288</v>
      </c>
      <c r="B438" s="1856" t="s">
        <v>16</v>
      </c>
      <c r="C438" s="1856" t="s">
        <v>2377</v>
      </c>
      <c r="D438" s="1856" t="s">
        <v>2378</v>
      </c>
      <c r="E438" s="1856" t="s">
        <v>2363</v>
      </c>
      <c r="F438" s="1856" t="s">
        <v>2379</v>
      </c>
      <c r="G438" s="1856" t="s">
        <v>2364</v>
      </c>
      <c r="H438" s="1856" t="s">
        <v>28</v>
      </c>
      <c r="I438" s="1856" t="s">
        <v>890</v>
      </c>
    </row>
    <row customHeight="1" ht="11.25">
      <c r="A439" s="1856" t="s">
        <v>2288</v>
      </c>
      <c r="B439" s="1856" t="s">
        <v>16</v>
      </c>
      <c r="C439" s="1856" t="s">
        <v>2380</v>
      </c>
      <c r="D439" s="1856" t="s">
        <v>2381</v>
      </c>
      <c r="E439" s="1856" t="s">
        <v>2363</v>
      </c>
      <c r="F439" s="1856" t="s">
        <v>2382</v>
      </c>
      <c r="G439" s="1856" t="s">
        <v>2364</v>
      </c>
      <c r="H439" s="1856" t="s">
        <v>28</v>
      </c>
      <c r="I439" s="1856" t="s">
        <v>890</v>
      </c>
    </row>
    <row customHeight="1" ht="11.25">
      <c r="A440" s="1856" t="s">
        <v>2288</v>
      </c>
      <c r="B440" s="1856" t="s">
        <v>16</v>
      </c>
      <c r="C440" s="1856" t="s">
        <v>2383</v>
      </c>
      <c r="D440" s="1856" t="s">
        <v>2384</v>
      </c>
      <c r="E440" s="1856" t="s">
        <v>2363</v>
      </c>
      <c r="F440" s="1856" t="s">
        <v>2385</v>
      </c>
      <c r="G440" s="1856" t="s">
        <v>2364</v>
      </c>
      <c r="H440" s="1856" t="s">
        <v>28</v>
      </c>
      <c r="I440" s="1856" t="s">
        <v>890</v>
      </c>
    </row>
    <row customHeight="1" ht="11.25">
      <c r="A441" s="1856" t="s">
        <v>2288</v>
      </c>
      <c r="B441" s="1856" t="s">
        <v>16</v>
      </c>
      <c r="C441" s="1856" t="s">
        <v>2386</v>
      </c>
      <c r="D441" s="1856" t="s">
        <v>2387</v>
      </c>
      <c r="E441" s="1856" t="s">
        <v>2363</v>
      </c>
      <c r="F441" s="1856" t="s">
        <v>2354</v>
      </c>
      <c r="G441" s="1856" t="s">
        <v>2364</v>
      </c>
      <c r="H441" s="1856" t="s">
        <v>28</v>
      </c>
      <c r="I441" s="1856" t="s">
        <v>890</v>
      </c>
    </row>
    <row customHeight="1" ht="11.25">
      <c r="A442" s="1856" t="s">
        <v>2288</v>
      </c>
      <c r="B442" s="1856" t="s">
        <v>16</v>
      </c>
      <c r="C442" s="1856" t="s">
        <v>2393</v>
      </c>
      <c r="D442" s="1856" t="s">
        <v>2394</v>
      </c>
      <c r="E442" s="1856" t="s">
        <v>2395</v>
      </c>
      <c r="F442" s="1856" t="s">
        <v>2300</v>
      </c>
      <c r="G442" s="1856" t="s">
        <v>2396</v>
      </c>
      <c r="H442" s="1856" t="s">
        <v>28</v>
      </c>
      <c r="I442" s="1856" t="s">
        <v>890</v>
      </c>
    </row>
    <row customHeight="1" ht="11.25">
      <c r="A443" s="1856" t="s">
        <v>2288</v>
      </c>
      <c r="B443" s="1856" t="s">
        <v>16</v>
      </c>
      <c r="C443" s="1856" t="s">
        <v>2397</v>
      </c>
      <c r="D443" s="1856" t="s">
        <v>2398</v>
      </c>
      <c r="E443" s="1856" t="s">
        <v>2399</v>
      </c>
      <c r="F443" s="1856" t="s">
        <v>2400</v>
      </c>
      <c r="G443" s="1856" t="s">
        <v>2401</v>
      </c>
      <c r="H443" s="1856" t="s">
        <v>28</v>
      </c>
      <c r="I443" s="1856" t="s">
        <v>890</v>
      </c>
    </row>
    <row customHeight="1" ht="11.25">
      <c r="A444" s="1856" t="s">
        <v>2288</v>
      </c>
      <c r="B444" s="1856" t="s">
        <v>16</v>
      </c>
      <c r="C444" s="1856" t="s">
        <v>13</v>
      </c>
      <c r="D444" s="1856" t="s">
        <v>48</v>
      </c>
      <c r="E444" s="1856" t="s">
        <v>51</v>
      </c>
      <c r="F444" s="1856" t="s">
        <v>53</v>
      </c>
      <c r="G444" s="1856" t="s">
        <v>2315</v>
      </c>
      <c r="H444" s="1856" t="s">
        <v>28</v>
      </c>
      <c r="I444" s="1856" t="s">
        <v>890</v>
      </c>
    </row>
    <row customHeight="1" ht="11.25">
      <c r="A445" s="1856" t="s">
        <v>2288</v>
      </c>
      <c r="B445" s="1856" t="s">
        <v>16</v>
      </c>
      <c r="C445" s="1856" t="s">
        <v>2419</v>
      </c>
      <c r="D445" s="1856" t="s">
        <v>2420</v>
      </c>
      <c r="E445" s="1856" t="s">
        <v>2421</v>
      </c>
      <c r="F445" s="1856" t="s">
        <v>2400</v>
      </c>
      <c r="G445" s="1856" t="s">
        <v>2422</v>
      </c>
      <c r="H445" s="1856" t="s">
        <v>28</v>
      </c>
      <c r="I445" s="1856" t="s">
        <v>890</v>
      </c>
    </row>
    <row customHeight="1" ht="11.25">
      <c r="A446" s="1856" t="s">
        <v>2288</v>
      </c>
      <c r="B446" s="1856" t="s">
        <v>16</v>
      </c>
      <c r="C446" s="1856" t="s">
        <v>2423</v>
      </c>
      <c r="D446" s="1856" t="s">
        <v>2424</v>
      </c>
      <c r="E446" s="1856" t="s">
        <v>2425</v>
      </c>
      <c r="F446" s="1856" t="s">
        <v>2426</v>
      </c>
      <c r="G446" s="1856" t="s">
        <v>2427</v>
      </c>
      <c r="H446" s="1856" t="s">
        <v>28</v>
      </c>
      <c r="I446" s="1856" t="s">
        <v>890</v>
      </c>
    </row>
    <row customHeight="1" ht="11.25">
      <c r="A447" s="1856" t="s">
        <v>2288</v>
      </c>
      <c r="B447" s="1856" t="s">
        <v>16</v>
      </c>
      <c r="C447" s="1856" t="s">
        <v>2428</v>
      </c>
      <c r="D447" s="1856" t="s">
        <v>2429</v>
      </c>
      <c r="E447" s="1856" t="s">
        <v>2430</v>
      </c>
      <c r="F447" s="1856" t="s">
        <v>2431</v>
      </c>
      <c r="G447" s="1856" t="s">
        <v>2432</v>
      </c>
      <c r="H447" s="1856" t="s">
        <v>28</v>
      </c>
      <c r="I447" s="1856" t="s">
        <v>890</v>
      </c>
    </row>
    <row customHeight="1" ht="11.25">
      <c r="A448" s="1856" t="s">
        <v>2288</v>
      </c>
      <c r="B448" s="1856" t="s">
        <v>16</v>
      </c>
      <c r="C448" s="1856" t="s">
        <v>2433</v>
      </c>
      <c r="D448" s="1856" t="s">
        <v>2434</v>
      </c>
      <c r="E448" s="1856" t="s">
        <v>2425</v>
      </c>
      <c r="F448" s="1856" t="s">
        <v>2435</v>
      </c>
      <c r="G448" s="1856" t="s">
        <v>2436</v>
      </c>
      <c r="H448" s="1856" t="s">
        <v>28</v>
      </c>
      <c r="I448" s="1856" t="s">
        <v>890</v>
      </c>
    </row>
    <row customHeight="1" ht="11.25">
      <c r="A449" s="1856" t="s">
        <v>2288</v>
      </c>
      <c r="B449" s="1856" t="s">
        <v>16</v>
      </c>
      <c r="C449" s="1856" t="s">
        <v>2437</v>
      </c>
      <c r="D449" s="1856" t="s">
        <v>2438</v>
      </c>
      <c r="E449" s="1856" t="s">
        <v>2439</v>
      </c>
      <c r="F449" s="1856" t="s">
        <v>2300</v>
      </c>
      <c r="G449" s="1856" t="s">
        <v>2440</v>
      </c>
      <c r="H449" s="1856" t="s">
        <v>28</v>
      </c>
      <c r="I449" s="1856" t="s">
        <v>890</v>
      </c>
    </row>
    <row customHeight="1" ht="11.25">
      <c r="A450" s="1856" t="s">
        <v>2288</v>
      </c>
      <c r="B450" s="1856" t="s">
        <v>16</v>
      </c>
      <c r="C450" s="1856" t="s">
        <v>3281</v>
      </c>
      <c r="D450" s="1856" t="s">
        <v>3282</v>
      </c>
      <c r="E450" s="1856" t="s">
        <v>3283</v>
      </c>
      <c r="F450" s="1856" t="s">
        <v>2300</v>
      </c>
      <c r="G450" s="1856" t="s">
        <v>3284</v>
      </c>
      <c r="H450" s="1856" t="s">
        <v>28</v>
      </c>
      <c r="I450" s="1856" t="s">
        <v>890</v>
      </c>
    </row>
    <row customHeight="1" ht="11.25">
      <c r="A451" s="1856" t="s">
        <v>2288</v>
      </c>
      <c r="B451" s="1856" t="s">
        <v>16</v>
      </c>
      <c r="C451" s="1856" t="s">
        <v>28</v>
      </c>
      <c r="D451" s="1856" t="s">
        <v>2453</v>
      </c>
      <c r="E451" s="1856" t="s">
        <v>2454</v>
      </c>
      <c r="F451" s="1856" t="s">
        <v>2300</v>
      </c>
      <c r="G451" s="1856" t="s">
        <v>28</v>
      </c>
      <c r="H451" s="1856" t="s">
        <v>28</v>
      </c>
      <c r="I451" s="1856" t="s">
        <v>890</v>
      </c>
    </row>
    <row customHeight="1" ht="11.25">
      <c r="A452" s="1856" t="s">
        <v>2288</v>
      </c>
      <c r="B452" s="1856" t="s">
        <v>16</v>
      </c>
      <c r="C452" s="1856" t="s">
        <v>2455</v>
      </c>
      <c r="D452" s="1856" t="s">
        <v>2456</v>
      </c>
      <c r="E452" s="1856" t="s">
        <v>2457</v>
      </c>
      <c r="F452" s="1856" t="s">
        <v>2300</v>
      </c>
      <c r="G452" s="1856" t="s">
        <v>2458</v>
      </c>
      <c r="H452" s="1856" t="s">
        <v>28</v>
      </c>
      <c r="I452" s="1856" t="s">
        <v>890</v>
      </c>
    </row>
    <row customHeight="1" ht="11.25">
      <c r="A453" s="1856" t="s">
        <v>2288</v>
      </c>
      <c r="B453" s="1856" t="s">
        <v>16</v>
      </c>
      <c r="C453" s="1856" t="s">
        <v>2459</v>
      </c>
      <c r="D453" s="1856" t="s">
        <v>2460</v>
      </c>
      <c r="E453" s="1856" t="s">
        <v>2457</v>
      </c>
      <c r="F453" s="1856" t="s">
        <v>2338</v>
      </c>
      <c r="G453" s="1856" t="s">
        <v>2458</v>
      </c>
      <c r="H453" s="1856" t="s">
        <v>28</v>
      </c>
      <c r="I453" s="1856" t="s">
        <v>890</v>
      </c>
    </row>
    <row customHeight="1" ht="11.25">
      <c r="A454" s="1856" t="s">
        <v>2288</v>
      </c>
      <c r="B454" s="1856" t="s">
        <v>16</v>
      </c>
      <c r="C454" s="1856" t="s">
        <v>2461</v>
      </c>
      <c r="D454" s="1856" t="s">
        <v>2462</v>
      </c>
      <c r="E454" s="1856" t="s">
        <v>2457</v>
      </c>
      <c r="F454" s="1856" t="s">
        <v>2385</v>
      </c>
      <c r="G454" s="1856" t="s">
        <v>2458</v>
      </c>
      <c r="H454" s="1856" t="s">
        <v>28</v>
      </c>
      <c r="I454" s="1856" t="s">
        <v>890</v>
      </c>
    </row>
    <row customHeight="1" ht="11.25">
      <c r="A455" s="1856" t="s">
        <v>2288</v>
      </c>
      <c r="B455" s="1856" t="s">
        <v>16</v>
      </c>
      <c r="C455" s="1856" t="s">
        <v>2463</v>
      </c>
      <c r="D455" s="1856" t="s">
        <v>2464</v>
      </c>
      <c r="E455" s="1856" t="s">
        <v>2457</v>
      </c>
      <c r="F455" s="1856" t="s">
        <v>2465</v>
      </c>
      <c r="G455" s="1856" t="s">
        <v>2458</v>
      </c>
      <c r="H455" s="1856" t="s">
        <v>28</v>
      </c>
      <c r="I455" s="1856" t="s">
        <v>890</v>
      </c>
    </row>
    <row customHeight="1" ht="11.25">
      <c r="A456" s="1856" t="s">
        <v>2288</v>
      </c>
      <c r="B456" s="1856" t="s">
        <v>16</v>
      </c>
      <c r="C456" s="1856" t="s">
        <v>2466</v>
      </c>
      <c r="D456" s="1856" t="s">
        <v>2467</v>
      </c>
      <c r="E456" s="1856" t="s">
        <v>2457</v>
      </c>
      <c r="F456" s="1856" t="s">
        <v>2468</v>
      </c>
      <c r="G456" s="1856" t="s">
        <v>2458</v>
      </c>
      <c r="H456" s="1856" t="s">
        <v>28</v>
      </c>
      <c r="I456" s="1856" t="s">
        <v>890</v>
      </c>
    </row>
    <row customHeight="1" ht="11.25">
      <c r="A457" s="1856" t="s">
        <v>2288</v>
      </c>
      <c r="B457" s="1856" t="s">
        <v>16</v>
      </c>
      <c r="C457" s="1856" t="s">
        <v>2469</v>
      </c>
      <c r="D457" s="1856" t="s">
        <v>2470</v>
      </c>
      <c r="E457" s="1856" t="s">
        <v>2457</v>
      </c>
      <c r="F457" s="1856" t="s">
        <v>2471</v>
      </c>
      <c r="G457" s="1856" t="s">
        <v>2458</v>
      </c>
      <c r="H457" s="1856" t="s">
        <v>28</v>
      </c>
      <c r="I457" s="1856" t="s">
        <v>890</v>
      </c>
    </row>
    <row customHeight="1" ht="11.25">
      <c r="A458" s="1856" t="s">
        <v>2288</v>
      </c>
      <c r="B458" s="1856" t="s">
        <v>16</v>
      </c>
      <c r="C458" s="1856" t="s">
        <v>2472</v>
      </c>
      <c r="D458" s="1856" t="s">
        <v>2473</v>
      </c>
      <c r="E458" s="1856" t="s">
        <v>2457</v>
      </c>
      <c r="F458" s="1856" t="s">
        <v>2474</v>
      </c>
      <c r="G458" s="1856" t="s">
        <v>2458</v>
      </c>
      <c r="H458" s="1856" t="s">
        <v>28</v>
      </c>
      <c r="I458" s="1856" t="s">
        <v>890</v>
      </c>
    </row>
    <row customHeight="1" ht="11.25">
      <c r="A459" s="1856" t="s">
        <v>2288</v>
      </c>
      <c r="B459" s="1856" t="s">
        <v>16</v>
      </c>
      <c r="C459" s="1856" t="s">
        <v>2475</v>
      </c>
      <c r="D459" s="1856" t="s">
        <v>2476</v>
      </c>
      <c r="E459" s="1856" t="s">
        <v>2457</v>
      </c>
      <c r="F459" s="1856" t="s">
        <v>2477</v>
      </c>
      <c r="G459" s="1856" t="s">
        <v>2458</v>
      </c>
      <c r="H459" s="1856" t="s">
        <v>28</v>
      </c>
      <c r="I459" s="1856" t="s">
        <v>890</v>
      </c>
    </row>
    <row customHeight="1" ht="11.25">
      <c r="A460" s="1856" t="s">
        <v>2288</v>
      </c>
      <c r="B460" s="1856" t="s">
        <v>16</v>
      </c>
      <c r="C460" s="1856" t="s">
        <v>2478</v>
      </c>
      <c r="D460" s="1856" t="s">
        <v>2479</v>
      </c>
      <c r="E460" s="1856" t="s">
        <v>2457</v>
      </c>
      <c r="F460" s="1856" t="s">
        <v>2480</v>
      </c>
      <c r="G460" s="1856" t="s">
        <v>2458</v>
      </c>
      <c r="H460" s="1856" t="s">
        <v>28</v>
      </c>
      <c r="I460" s="1856" t="s">
        <v>890</v>
      </c>
    </row>
    <row customHeight="1" ht="11.25">
      <c r="A461" s="1856" t="s">
        <v>2288</v>
      </c>
      <c r="B461" s="1856" t="s">
        <v>16</v>
      </c>
      <c r="C461" s="1856" t="s">
        <v>2481</v>
      </c>
      <c r="D461" s="1856" t="s">
        <v>2482</v>
      </c>
      <c r="E461" s="1856" t="s">
        <v>2457</v>
      </c>
      <c r="F461" s="1856" t="s">
        <v>2483</v>
      </c>
      <c r="G461" s="1856" t="s">
        <v>2458</v>
      </c>
      <c r="H461" s="1856" t="s">
        <v>28</v>
      </c>
      <c r="I461" s="1856" t="s">
        <v>890</v>
      </c>
    </row>
    <row customHeight="1" ht="11.25">
      <c r="A462" s="1856" t="s">
        <v>2288</v>
      </c>
      <c r="B462" s="1856" t="s">
        <v>16</v>
      </c>
      <c r="C462" s="1856" t="s">
        <v>2484</v>
      </c>
      <c r="D462" s="1856" t="s">
        <v>2485</v>
      </c>
      <c r="E462" s="1856" t="s">
        <v>2457</v>
      </c>
      <c r="F462" s="1856" t="s">
        <v>2486</v>
      </c>
      <c r="G462" s="1856" t="s">
        <v>2458</v>
      </c>
      <c r="H462" s="1856" t="s">
        <v>28</v>
      </c>
      <c r="I462" s="1856" t="s">
        <v>890</v>
      </c>
    </row>
    <row customHeight="1" ht="11.25">
      <c r="A463" s="1856" t="s">
        <v>2288</v>
      </c>
      <c r="B463" s="1856" t="s">
        <v>16</v>
      </c>
      <c r="C463" s="1856" t="s">
        <v>2487</v>
      </c>
      <c r="D463" s="1856" t="s">
        <v>2488</v>
      </c>
      <c r="E463" s="1856" t="s">
        <v>2457</v>
      </c>
      <c r="F463" s="1856" t="s">
        <v>2342</v>
      </c>
      <c r="G463" s="1856" t="s">
        <v>2458</v>
      </c>
      <c r="H463" s="1856" t="s">
        <v>28</v>
      </c>
      <c r="I463" s="1856" t="s">
        <v>890</v>
      </c>
    </row>
    <row customHeight="1" ht="11.25">
      <c r="A464" s="1856" t="s">
        <v>2288</v>
      </c>
      <c r="B464" s="1856" t="s">
        <v>16</v>
      </c>
      <c r="C464" s="1856" t="s">
        <v>2489</v>
      </c>
      <c r="D464" s="1856" t="s">
        <v>2490</v>
      </c>
      <c r="E464" s="1856" t="s">
        <v>2457</v>
      </c>
      <c r="F464" s="1856" t="s">
        <v>2491</v>
      </c>
      <c r="G464" s="1856" t="s">
        <v>2458</v>
      </c>
      <c r="H464" s="1856" t="s">
        <v>28</v>
      </c>
      <c r="I464" s="1856" t="s">
        <v>890</v>
      </c>
    </row>
    <row customHeight="1" ht="11.25">
      <c r="A465" s="1856" t="s">
        <v>2288</v>
      </c>
      <c r="B465" s="1856" t="s">
        <v>16</v>
      </c>
      <c r="C465" s="1856" t="s">
        <v>2492</v>
      </c>
      <c r="D465" s="1856" t="s">
        <v>2493</v>
      </c>
      <c r="E465" s="1856" t="s">
        <v>2457</v>
      </c>
      <c r="F465" s="1856" t="s">
        <v>2494</v>
      </c>
      <c r="G465" s="1856" t="s">
        <v>2458</v>
      </c>
      <c r="H465" s="1856" t="s">
        <v>28</v>
      </c>
      <c r="I465" s="1856" t="s">
        <v>890</v>
      </c>
    </row>
    <row customHeight="1" ht="11.25">
      <c r="A466" s="1856" t="s">
        <v>2288</v>
      </c>
      <c r="B466" s="1856" t="s">
        <v>16</v>
      </c>
      <c r="C466" s="1856" t="s">
        <v>2495</v>
      </c>
      <c r="D466" s="1856" t="s">
        <v>2496</v>
      </c>
      <c r="E466" s="1856" t="s">
        <v>2457</v>
      </c>
      <c r="F466" s="1856" t="s">
        <v>2497</v>
      </c>
      <c r="G466" s="1856" t="s">
        <v>2458</v>
      </c>
      <c r="H466" s="1856" t="s">
        <v>28</v>
      </c>
      <c r="I466" s="1856" t="s">
        <v>890</v>
      </c>
    </row>
    <row customHeight="1" ht="11.25">
      <c r="A467" s="1856" t="s">
        <v>2288</v>
      </c>
      <c r="B467" s="1856" t="s">
        <v>16</v>
      </c>
      <c r="C467" s="1856" t="s">
        <v>2498</v>
      </c>
      <c r="D467" s="1856" t="s">
        <v>2499</v>
      </c>
      <c r="E467" s="1856" t="s">
        <v>2457</v>
      </c>
      <c r="F467" s="1856" t="s">
        <v>2373</v>
      </c>
      <c r="G467" s="1856" t="s">
        <v>2458</v>
      </c>
      <c r="H467" s="1856" t="s">
        <v>28</v>
      </c>
      <c r="I467" s="1856" t="s">
        <v>890</v>
      </c>
    </row>
    <row customHeight="1" ht="11.25">
      <c r="A468" s="1856" t="s">
        <v>2288</v>
      </c>
      <c r="B468" s="1856" t="s">
        <v>16</v>
      </c>
      <c r="C468" s="1856" t="s">
        <v>2500</v>
      </c>
      <c r="D468" s="1856" t="s">
        <v>2501</v>
      </c>
      <c r="E468" s="1856" t="s">
        <v>2457</v>
      </c>
      <c r="F468" s="1856" t="s">
        <v>2502</v>
      </c>
      <c r="G468" s="1856" t="s">
        <v>2458</v>
      </c>
      <c r="H468" s="1856" t="s">
        <v>28</v>
      </c>
      <c r="I468" s="1856" t="s">
        <v>890</v>
      </c>
    </row>
    <row customHeight="1" ht="11.25">
      <c r="A469" s="1856" t="s">
        <v>2288</v>
      </c>
      <c r="B469" s="1856" t="s">
        <v>16</v>
      </c>
      <c r="C469" s="1856" t="s">
        <v>2503</v>
      </c>
      <c r="D469" s="1856" t="s">
        <v>2504</v>
      </c>
      <c r="E469" s="1856" t="s">
        <v>2457</v>
      </c>
      <c r="F469" s="1856" t="s">
        <v>2348</v>
      </c>
      <c r="G469" s="1856" t="s">
        <v>2458</v>
      </c>
      <c r="H469" s="1856" t="s">
        <v>28</v>
      </c>
      <c r="I469" s="1856" t="s">
        <v>890</v>
      </c>
    </row>
    <row customHeight="1" ht="11.25">
      <c r="A470" s="1856" t="s">
        <v>2288</v>
      </c>
      <c r="B470" s="1856" t="s">
        <v>16</v>
      </c>
      <c r="C470" s="1856" t="s">
        <v>2505</v>
      </c>
      <c r="D470" s="1856" t="s">
        <v>2506</v>
      </c>
      <c r="E470" s="1856" t="s">
        <v>2457</v>
      </c>
      <c r="F470" s="1856" t="s">
        <v>2507</v>
      </c>
      <c r="G470" s="1856" t="s">
        <v>2458</v>
      </c>
      <c r="H470" s="1856" t="s">
        <v>28</v>
      </c>
      <c r="I470" s="1856" t="s">
        <v>890</v>
      </c>
    </row>
    <row customHeight="1" ht="11.25">
      <c r="A471" s="1856" t="s">
        <v>2288</v>
      </c>
      <c r="B471" s="1856" t="s">
        <v>16</v>
      </c>
      <c r="C471" s="1856" t="s">
        <v>2508</v>
      </c>
      <c r="D471" s="1856" t="s">
        <v>2509</v>
      </c>
      <c r="E471" s="1856" t="s">
        <v>2457</v>
      </c>
      <c r="F471" s="1856" t="s">
        <v>2382</v>
      </c>
      <c r="G471" s="1856" t="s">
        <v>2458</v>
      </c>
      <c r="H471" s="1856" t="s">
        <v>28</v>
      </c>
      <c r="I471" s="1856" t="s">
        <v>890</v>
      </c>
    </row>
    <row customHeight="1" ht="11.25">
      <c r="A472" s="1856" t="s">
        <v>2288</v>
      </c>
      <c r="B472" s="1856" t="s">
        <v>16</v>
      </c>
      <c r="C472" s="1856" t="s">
        <v>2510</v>
      </c>
      <c r="D472" s="1856" t="s">
        <v>2511</v>
      </c>
      <c r="E472" s="1856" t="s">
        <v>2457</v>
      </c>
      <c r="F472" s="1856" t="s">
        <v>2512</v>
      </c>
      <c r="G472" s="1856" t="s">
        <v>2458</v>
      </c>
      <c r="H472" s="1856" t="s">
        <v>28</v>
      </c>
      <c r="I472" s="1856" t="s">
        <v>890</v>
      </c>
    </row>
    <row customHeight="1" ht="11.25">
      <c r="A473" s="1856" t="s">
        <v>2288</v>
      </c>
      <c r="B473" s="1856" t="s">
        <v>16</v>
      </c>
      <c r="C473" s="1856" t="s">
        <v>2513</v>
      </c>
      <c r="D473" s="1856" t="s">
        <v>2514</v>
      </c>
      <c r="E473" s="1856" t="s">
        <v>2457</v>
      </c>
      <c r="F473" s="1856" t="s">
        <v>2515</v>
      </c>
      <c r="G473" s="1856" t="s">
        <v>2458</v>
      </c>
      <c r="H473" s="1856" t="s">
        <v>28</v>
      </c>
      <c r="I473" s="1856" t="s">
        <v>890</v>
      </c>
    </row>
    <row customHeight="1" ht="11.25">
      <c r="A474" s="1856" t="s">
        <v>2288</v>
      </c>
      <c r="B474" s="1856" t="s">
        <v>16</v>
      </c>
      <c r="C474" s="1856" t="s">
        <v>2516</v>
      </c>
      <c r="D474" s="1856" t="s">
        <v>2517</v>
      </c>
      <c r="E474" s="1856" t="s">
        <v>2457</v>
      </c>
      <c r="F474" s="1856" t="s">
        <v>2518</v>
      </c>
      <c r="G474" s="1856" t="s">
        <v>2458</v>
      </c>
      <c r="H474" s="1856" t="s">
        <v>28</v>
      </c>
      <c r="I474" s="1856" t="s">
        <v>890</v>
      </c>
    </row>
    <row customHeight="1" ht="11.25">
      <c r="A475" s="1856" t="s">
        <v>2288</v>
      </c>
      <c r="B475" s="1856" t="s">
        <v>16</v>
      </c>
      <c r="C475" s="1856" t="s">
        <v>2519</v>
      </c>
      <c r="D475" s="1856" t="s">
        <v>2520</v>
      </c>
      <c r="E475" s="1856" t="s">
        <v>2457</v>
      </c>
      <c r="F475" s="1856" t="s">
        <v>2521</v>
      </c>
      <c r="G475" s="1856" t="s">
        <v>2458</v>
      </c>
      <c r="H475" s="1856" t="s">
        <v>28</v>
      </c>
      <c r="I475" s="1856" t="s">
        <v>890</v>
      </c>
    </row>
    <row customHeight="1" ht="11.25">
      <c r="A476" s="1856" t="s">
        <v>2288</v>
      </c>
      <c r="B476" s="1856" t="s">
        <v>16</v>
      </c>
      <c r="C476" s="1856" t="s">
        <v>2522</v>
      </c>
      <c r="D476" s="1856" t="s">
        <v>2523</v>
      </c>
      <c r="E476" s="1856" t="s">
        <v>2457</v>
      </c>
      <c r="F476" s="1856" t="s">
        <v>2524</v>
      </c>
      <c r="G476" s="1856" t="s">
        <v>2458</v>
      </c>
      <c r="H476" s="1856" t="s">
        <v>28</v>
      </c>
      <c r="I476" s="1856" t="s">
        <v>890</v>
      </c>
    </row>
    <row customHeight="1" ht="11.25">
      <c r="A477" s="1856" t="s">
        <v>2288</v>
      </c>
      <c r="B477" s="1856" t="s">
        <v>16</v>
      </c>
      <c r="C477" s="1856" t="s">
        <v>2525</v>
      </c>
      <c r="D477" s="1856" t="s">
        <v>2526</v>
      </c>
      <c r="E477" s="1856" t="s">
        <v>2457</v>
      </c>
      <c r="F477" s="1856" t="s">
        <v>2527</v>
      </c>
      <c r="G477" s="1856" t="s">
        <v>2458</v>
      </c>
      <c r="H477" s="1856" t="s">
        <v>28</v>
      </c>
      <c r="I477" s="1856" t="s">
        <v>890</v>
      </c>
    </row>
    <row customHeight="1" ht="11.25">
      <c r="A478" s="1856" t="s">
        <v>2288</v>
      </c>
      <c r="B478" s="1856" t="s">
        <v>16</v>
      </c>
      <c r="C478" s="1856" t="s">
        <v>2531</v>
      </c>
      <c r="D478" s="1856" t="s">
        <v>2532</v>
      </c>
      <c r="E478" s="1856" t="s">
        <v>2457</v>
      </c>
      <c r="F478" s="1856" t="s">
        <v>2533</v>
      </c>
      <c r="G478" s="1856" t="s">
        <v>2458</v>
      </c>
      <c r="H478" s="1856" t="s">
        <v>28</v>
      </c>
      <c r="I478" s="1856" t="s">
        <v>890</v>
      </c>
    </row>
    <row customHeight="1" ht="11.25">
      <c r="A479" s="1856" t="s">
        <v>2288</v>
      </c>
      <c r="B479" s="1856" t="s">
        <v>16</v>
      </c>
      <c r="C479" s="1856" t="s">
        <v>2534</v>
      </c>
      <c r="D479" s="1856" t="s">
        <v>2535</v>
      </c>
      <c r="E479" s="1856" t="s">
        <v>2536</v>
      </c>
      <c r="F479" s="1856" t="s">
        <v>2537</v>
      </c>
      <c r="G479" s="1856" t="s">
        <v>28</v>
      </c>
      <c r="H479" s="1856" t="s">
        <v>28</v>
      </c>
      <c r="I479" s="1856" t="s">
        <v>890</v>
      </c>
    </row>
    <row customHeight="1" ht="11.25">
      <c r="A480" s="1856" t="s">
        <v>2288</v>
      </c>
      <c r="B480" s="1856" t="s">
        <v>16</v>
      </c>
      <c r="C480" s="1856" t="s">
        <v>2538</v>
      </c>
      <c r="D480" s="1856" t="s">
        <v>2539</v>
      </c>
      <c r="E480" s="1856" t="s">
        <v>2536</v>
      </c>
      <c r="F480" s="1856" t="s">
        <v>2540</v>
      </c>
      <c r="G480" s="1856" t="s">
        <v>28</v>
      </c>
      <c r="H480" s="1856" t="s">
        <v>28</v>
      </c>
      <c r="I480" s="1856" t="s">
        <v>890</v>
      </c>
    </row>
    <row customHeight="1" ht="11.25">
      <c r="A481" s="1856" t="s">
        <v>2288</v>
      </c>
      <c r="B481" s="1856" t="s">
        <v>16</v>
      </c>
      <c r="C481" s="1856" t="s">
        <v>2545</v>
      </c>
      <c r="D481" s="1856" t="s">
        <v>2546</v>
      </c>
      <c r="E481" s="1856" t="s">
        <v>2547</v>
      </c>
      <c r="F481" s="1856" t="s">
        <v>2548</v>
      </c>
      <c r="G481" s="1856" t="s">
        <v>28</v>
      </c>
      <c r="H481" s="1856" t="s">
        <v>28</v>
      </c>
      <c r="I481" s="1856" t="s">
        <v>890</v>
      </c>
    </row>
    <row customHeight="1" ht="11.25">
      <c r="A482" s="1856" t="s">
        <v>2288</v>
      </c>
      <c r="B482" s="1856" t="s">
        <v>16</v>
      </c>
      <c r="C482" s="1856" t="s">
        <v>2569</v>
      </c>
      <c r="D482" s="1856" t="s">
        <v>2570</v>
      </c>
      <c r="E482" s="1856" t="s">
        <v>2571</v>
      </c>
      <c r="F482" s="1856" t="s">
        <v>612</v>
      </c>
      <c r="G482" s="1856" t="s">
        <v>2572</v>
      </c>
      <c r="H482" s="1856" t="s">
        <v>28</v>
      </c>
      <c r="I482" s="1856" t="s">
        <v>890</v>
      </c>
    </row>
    <row customHeight="1" ht="11.25">
      <c r="A483" s="1856" t="s">
        <v>2288</v>
      </c>
      <c r="B483" s="1856" t="s">
        <v>16</v>
      </c>
      <c r="C483" s="1856" t="s">
        <v>3285</v>
      </c>
      <c r="D483" s="1856" t="s">
        <v>3286</v>
      </c>
      <c r="E483" s="1856" t="s">
        <v>3287</v>
      </c>
      <c r="F483" s="1856" t="s">
        <v>612</v>
      </c>
      <c r="G483" s="1856" t="s">
        <v>3133</v>
      </c>
      <c r="H483" s="1856" t="s">
        <v>28</v>
      </c>
      <c r="I483" s="1856" t="s">
        <v>890</v>
      </c>
    </row>
    <row customHeight="1" ht="11.25">
      <c r="A484" s="1856" t="s">
        <v>2288</v>
      </c>
      <c r="B484" s="1856" t="s">
        <v>16</v>
      </c>
      <c r="C484" s="1856" t="s">
        <v>3288</v>
      </c>
      <c r="D484" s="1856" t="s">
        <v>3289</v>
      </c>
      <c r="E484" s="1856" t="s">
        <v>3290</v>
      </c>
      <c r="F484" s="1856" t="s">
        <v>612</v>
      </c>
      <c r="G484" s="1856" t="s">
        <v>3291</v>
      </c>
      <c r="H484" s="1856" t="s">
        <v>28</v>
      </c>
      <c r="I484" s="1856" t="s">
        <v>890</v>
      </c>
    </row>
    <row customHeight="1" ht="11.25">
      <c r="A485" s="1856" t="s">
        <v>2288</v>
      </c>
      <c r="B485" s="1856" t="s">
        <v>16</v>
      </c>
      <c r="C485" s="1856" t="s">
        <v>2592</v>
      </c>
      <c r="D485" s="1856" t="s">
        <v>2593</v>
      </c>
      <c r="E485" s="1856" t="s">
        <v>2594</v>
      </c>
      <c r="F485" s="1856" t="s">
        <v>612</v>
      </c>
      <c r="G485" s="1856" t="s">
        <v>2595</v>
      </c>
      <c r="H485" s="1856" t="s">
        <v>28</v>
      </c>
      <c r="I485" s="1856" t="s">
        <v>890</v>
      </c>
    </row>
    <row customHeight="1" ht="11.25">
      <c r="A486" s="1856" t="s">
        <v>2288</v>
      </c>
      <c r="B486" s="1856" t="s">
        <v>16</v>
      </c>
      <c r="C486" s="1856" t="s">
        <v>3292</v>
      </c>
      <c r="D486" s="1856" t="s">
        <v>3293</v>
      </c>
      <c r="E486" s="1856" t="s">
        <v>3294</v>
      </c>
      <c r="F486" s="1856" t="s">
        <v>612</v>
      </c>
      <c r="G486" s="1856" t="s">
        <v>28</v>
      </c>
      <c r="H486" s="1856" t="s">
        <v>28</v>
      </c>
      <c r="I486" s="1856" t="s">
        <v>890</v>
      </c>
    </row>
    <row customHeight="1" ht="11.25">
      <c r="A487" s="1856" t="s">
        <v>2288</v>
      </c>
      <c r="B487" s="1856" t="s">
        <v>16</v>
      </c>
      <c r="C487" s="1856" t="s">
        <v>3295</v>
      </c>
      <c r="D487" s="1856" t="s">
        <v>3296</v>
      </c>
      <c r="E487" s="1856" t="s">
        <v>3297</v>
      </c>
      <c r="F487" s="1856" t="s">
        <v>612</v>
      </c>
      <c r="G487" s="1856" t="s">
        <v>3298</v>
      </c>
      <c r="H487" s="1856" t="s">
        <v>28</v>
      </c>
      <c r="I487" s="1856" t="s">
        <v>890</v>
      </c>
    </row>
    <row customHeight="1" ht="11.25">
      <c r="A488" s="1856" t="s">
        <v>2288</v>
      </c>
      <c r="B488" s="1856" t="s">
        <v>16</v>
      </c>
      <c r="C488" s="1856" t="s">
        <v>3299</v>
      </c>
      <c r="D488" s="1856" t="s">
        <v>3300</v>
      </c>
      <c r="E488" s="1856" t="s">
        <v>3301</v>
      </c>
      <c r="F488" s="1856" t="s">
        <v>612</v>
      </c>
      <c r="G488" s="1856" t="s">
        <v>3302</v>
      </c>
      <c r="H488" s="1856" t="s">
        <v>28</v>
      </c>
      <c r="I488" s="1856" t="s">
        <v>890</v>
      </c>
    </row>
    <row customHeight="1" ht="11.25">
      <c r="A489" s="1856" t="s">
        <v>2288</v>
      </c>
      <c r="B489" s="1856" t="s">
        <v>16</v>
      </c>
      <c r="C489" s="1856" t="s">
        <v>2644</v>
      </c>
      <c r="D489" s="1856" t="s">
        <v>2645</v>
      </c>
      <c r="E489" s="1856" t="s">
        <v>2425</v>
      </c>
      <c r="F489" s="1856" t="s">
        <v>2646</v>
      </c>
      <c r="G489" s="1856" t="s">
        <v>2647</v>
      </c>
      <c r="H489" s="1856" t="s">
        <v>28</v>
      </c>
      <c r="I489" s="1856" t="s">
        <v>890</v>
      </c>
    </row>
    <row customHeight="1" ht="11.25">
      <c r="A490" s="1856" t="s">
        <v>2288</v>
      </c>
      <c r="B490" s="1856" t="s">
        <v>16</v>
      </c>
      <c r="C490" s="1856" t="s">
        <v>2653</v>
      </c>
      <c r="D490" s="1856" t="s">
        <v>2654</v>
      </c>
      <c r="E490" s="1856" t="s">
        <v>2655</v>
      </c>
      <c r="F490" s="1856" t="s">
        <v>2656</v>
      </c>
      <c r="G490" s="1856" t="s">
        <v>2657</v>
      </c>
      <c r="H490" s="1856" t="s">
        <v>28</v>
      </c>
      <c r="I490" s="1856" t="s">
        <v>890</v>
      </c>
    </row>
    <row customHeight="1" ht="11.25">
      <c r="A491" s="1856" t="s">
        <v>2288</v>
      </c>
      <c r="B491" s="1856" t="s">
        <v>16</v>
      </c>
      <c r="C491" s="1856" t="s">
        <v>2662</v>
      </c>
      <c r="D491" s="1856" t="s">
        <v>2663</v>
      </c>
      <c r="E491" s="1856" t="s">
        <v>2664</v>
      </c>
      <c r="F491" s="1856" t="s">
        <v>2665</v>
      </c>
      <c r="G491" s="1856" t="s">
        <v>2666</v>
      </c>
      <c r="H491" s="1856" t="s">
        <v>28</v>
      </c>
      <c r="I491" s="1856" t="s">
        <v>890</v>
      </c>
    </row>
    <row customHeight="1" ht="11.25">
      <c r="A492" s="1856" t="s">
        <v>2288</v>
      </c>
      <c r="B492" s="1856" t="s">
        <v>16</v>
      </c>
      <c r="C492" s="1856" t="s">
        <v>2667</v>
      </c>
      <c r="D492" s="1856" t="s">
        <v>2668</v>
      </c>
      <c r="E492" s="1856" t="s">
        <v>2669</v>
      </c>
      <c r="F492" s="1856" t="s">
        <v>2300</v>
      </c>
      <c r="G492" s="1856" t="s">
        <v>2670</v>
      </c>
      <c r="H492" s="1856" t="s">
        <v>28</v>
      </c>
      <c r="I492" s="1856" t="s">
        <v>890</v>
      </c>
    </row>
    <row customHeight="1" ht="11.25">
      <c r="A493" s="1856" t="s">
        <v>2288</v>
      </c>
      <c r="B493" s="1856" t="s">
        <v>16</v>
      </c>
      <c r="C493" s="1856" t="s">
        <v>2671</v>
      </c>
      <c r="D493" s="1856" t="s">
        <v>2672</v>
      </c>
      <c r="E493" s="1856" t="s">
        <v>2673</v>
      </c>
      <c r="F493" s="1856" t="s">
        <v>2674</v>
      </c>
      <c r="G493" s="1856" t="s">
        <v>2675</v>
      </c>
      <c r="H493" s="1856" t="s">
        <v>28</v>
      </c>
      <c r="I493" s="1856" t="s">
        <v>890</v>
      </c>
    </row>
    <row customHeight="1" ht="11.25">
      <c r="A494" s="1856" t="s">
        <v>2288</v>
      </c>
      <c r="B494" s="1856" t="s">
        <v>16</v>
      </c>
      <c r="C494" s="1856" t="s">
        <v>3303</v>
      </c>
      <c r="D494" s="1856" t="s">
        <v>3304</v>
      </c>
      <c r="E494" s="1856" t="s">
        <v>3305</v>
      </c>
      <c r="F494" s="1856" t="s">
        <v>3306</v>
      </c>
      <c r="G494" s="1856" t="s">
        <v>2995</v>
      </c>
      <c r="H494" s="1856" t="s">
        <v>28</v>
      </c>
      <c r="I494" s="1856" t="s">
        <v>890</v>
      </c>
    </row>
    <row customHeight="1" ht="11.25">
      <c r="A495" s="1856" t="s">
        <v>2288</v>
      </c>
      <c r="B495" s="1856" t="s">
        <v>16</v>
      </c>
      <c r="C495" s="1856" t="s">
        <v>2676</v>
      </c>
      <c r="D495" s="1856" t="s">
        <v>2677</v>
      </c>
      <c r="E495" s="1856" t="s">
        <v>2678</v>
      </c>
      <c r="F495" s="1856" t="s">
        <v>2300</v>
      </c>
      <c r="G495" s="1856" t="s">
        <v>2679</v>
      </c>
      <c r="H495" s="1856" t="s">
        <v>28</v>
      </c>
      <c r="I495" s="1856" t="s">
        <v>890</v>
      </c>
    </row>
    <row customHeight="1" ht="11.25">
      <c r="A496" s="1856" t="s">
        <v>2288</v>
      </c>
      <c r="B496" s="1856" t="s">
        <v>16</v>
      </c>
      <c r="C496" s="1856" t="s">
        <v>2684</v>
      </c>
      <c r="D496" s="1856" t="s">
        <v>2685</v>
      </c>
      <c r="E496" s="1856" t="s">
        <v>2686</v>
      </c>
      <c r="F496" s="1856" t="s">
        <v>2687</v>
      </c>
      <c r="G496" s="1856" t="s">
        <v>2688</v>
      </c>
      <c r="H496" s="1856" t="s">
        <v>28</v>
      </c>
      <c r="I496" s="1856" t="s">
        <v>890</v>
      </c>
    </row>
    <row customHeight="1" ht="11.25">
      <c r="A497" s="1856" t="s">
        <v>2288</v>
      </c>
      <c r="B497" s="1856" t="s">
        <v>16</v>
      </c>
      <c r="C497" s="1856" t="s">
        <v>2689</v>
      </c>
      <c r="D497" s="1856" t="s">
        <v>2690</v>
      </c>
      <c r="E497" s="1856" t="s">
        <v>2691</v>
      </c>
      <c r="F497" s="1856" t="s">
        <v>2692</v>
      </c>
      <c r="G497" s="1856" t="s">
        <v>2693</v>
      </c>
      <c r="H497" s="1856" t="s">
        <v>28</v>
      </c>
      <c r="I497" s="1856" t="s">
        <v>890</v>
      </c>
    </row>
    <row customHeight="1" ht="11.25">
      <c r="A498" s="1856" t="s">
        <v>2288</v>
      </c>
      <c r="B498" s="1856" t="s">
        <v>16</v>
      </c>
      <c r="C498" s="1856" t="s">
        <v>2694</v>
      </c>
      <c r="D498" s="1856" t="s">
        <v>2695</v>
      </c>
      <c r="E498" s="1856" t="s">
        <v>2696</v>
      </c>
      <c r="F498" s="1856" t="s">
        <v>2300</v>
      </c>
      <c r="G498" s="1856" t="s">
        <v>2697</v>
      </c>
      <c r="H498" s="1856" t="s">
        <v>28</v>
      </c>
      <c r="I498" s="1856" t="s">
        <v>890</v>
      </c>
    </row>
    <row customHeight="1" ht="11.25">
      <c r="A499" s="1856" t="s">
        <v>2288</v>
      </c>
      <c r="B499" s="1856" t="s">
        <v>16</v>
      </c>
      <c r="C499" s="1856" t="s">
        <v>3307</v>
      </c>
      <c r="D499" s="1856" t="s">
        <v>3308</v>
      </c>
      <c r="E499" s="1856" t="s">
        <v>3309</v>
      </c>
      <c r="F499" s="1856" t="s">
        <v>3108</v>
      </c>
      <c r="G499" s="1856" t="s">
        <v>3310</v>
      </c>
      <c r="H499" s="1856" t="s">
        <v>28</v>
      </c>
      <c r="I499" s="1856" t="s">
        <v>890</v>
      </c>
    </row>
    <row customHeight="1" ht="11.25">
      <c r="A500" s="1856" t="s">
        <v>2288</v>
      </c>
      <c r="B500" s="1856" t="s">
        <v>16</v>
      </c>
      <c r="C500" s="1856" t="s">
        <v>3311</v>
      </c>
      <c r="D500" s="1856" t="s">
        <v>3312</v>
      </c>
      <c r="E500" s="1856" t="s">
        <v>3313</v>
      </c>
      <c r="F500" s="1856" t="s">
        <v>2687</v>
      </c>
      <c r="G500" s="1856" t="s">
        <v>3314</v>
      </c>
      <c r="H500" s="1856" t="s">
        <v>28</v>
      </c>
      <c r="I500" s="1856" t="s">
        <v>890</v>
      </c>
    </row>
    <row customHeight="1" ht="11.25">
      <c r="A501" s="1856" t="s">
        <v>2288</v>
      </c>
      <c r="B501" s="1856" t="s">
        <v>16</v>
      </c>
      <c r="C501" s="1856" t="s">
        <v>3315</v>
      </c>
      <c r="D501" s="1856" t="s">
        <v>3316</v>
      </c>
      <c r="E501" s="1856" t="s">
        <v>3317</v>
      </c>
      <c r="F501" s="1856" t="s">
        <v>2687</v>
      </c>
      <c r="G501" s="1856" t="s">
        <v>3318</v>
      </c>
      <c r="H501" s="1856" t="s">
        <v>28</v>
      </c>
      <c r="I501" s="1856" t="s">
        <v>890</v>
      </c>
    </row>
    <row customHeight="1" ht="11.25">
      <c r="A502" s="1856" t="s">
        <v>2288</v>
      </c>
      <c r="B502" s="1856" t="s">
        <v>16</v>
      </c>
      <c r="C502" s="1856" t="s">
        <v>3319</v>
      </c>
      <c r="D502" s="1856" t="s">
        <v>3320</v>
      </c>
      <c r="E502" s="1856" t="s">
        <v>3321</v>
      </c>
      <c r="F502" s="1856" t="s">
        <v>3108</v>
      </c>
      <c r="G502" s="1856" t="s">
        <v>3322</v>
      </c>
      <c r="H502" s="1856" t="s">
        <v>28</v>
      </c>
      <c r="I502" s="1856" t="s">
        <v>890</v>
      </c>
    </row>
    <row customHeight="1" ht="11.25">
      <c r="A503" s="1856" t="s">
        <v>2288</v>
      </c>
      <c r="B503" s="1856" t="s">
        <v>16</v>
      </c>
      <c r="C503" s="1856" t="s">
        <v>2726</v>
      </c>
      <c r="D503" s="1856" t="s">
        <v>2727</v>
      </c>
      <c r="E503" s="1856" t="s">
        <v>2728</v>
      </c>
      <c r="F503" s="1856" t="s">
        <v>2400</v>
      </c>
      <c r="G503" s="1856" t="s">
        <v>2729</v>
      </c>
      <c r="H503" s="1856" t="s">
        <v>28</v>
      </c>
      <c r="I503" s="1856" t="s">
        <v>890</v>
      </c>
    </row>
    <row customHeight="1" ht="11.25">
      <c r="A504" s="1856" t="s">
        <v>2288</v>
      </c>
      <c r="B504" s="1856" t="s">
        <v>16</v>
      </c>
      <c r="C504" s="1856" t="s">
        <v>2730</v>
      </c>
      <c r="D504" s="1856" t="s">
        <v>2731</v>
      </c>
      <c r="E504" s="1856" t="s">
        <v>2732</v>
      </c>
      <c r="F504" s="1856" t="s">
        <v>2300</v>
      </c>
      <c r="G504" s="1856" t="s">
        <v>2733</v>
      </c>
      <c r="H504" s="1856" t="s">
        <v>28</v>
      </c>
      <c r="I504" s="1856" t="s">
        <v>890</v>
      </c>
    </row>
    <row customHeight="1" ht="11.25">
      <c r="A505" s="1856" t="s">
        <v>2288</v>
      </c>
      <c r="B505" s="1856" t="s">
        <v>16</v>
      </c>
      <c r="C505" s="1856" t="s">
        <v>3323</v>
      </c>
      <c r="D505" s="1856" t="s">
        <v>3324</v>
      </c>
      <c r="E505" s="1856" t="s">
        <v>3325</v>
      </c>
      <c r="F505" s="1856" t="s">
        <v>3326</v>
      </c>
      <c r="G505" s="1856" t="s">
        <v>3327</v>
      </c>
      <c r="H505" s="1856" t="s">
        <v>28</v>
      </c>
      <c r="I505" s="1856" t="s">
        <v>890</v>
      </c>
    </row>
    <row customHeight="1" ht="11.25">
      <c r="A506" s="1856" t="s">
        <v>2288</v>
      </c>
      <c r="B506" s="1856" t="s">
        <v>16</v>
      </c>
      <c r="C506" s="1856" t="s">
        <v>2738</v>
      </c>
      <c r="D506" s="1856" t="s">
        <v>2739</v>
      </c>
      <c r="E506" s="1856" t="s">
        <v>2740</v>
      </c>
      <c r="F506" s="1856" t="s">
        <v>2741</v>
      </c>
      <c r="G506" s="1856" t="s">
        <v>2742</v>
      </c>
      <c r="H506" s="1856" t="s">
        <v>28</v>
      </c>
      <c r="I506" s="1856" t="s">
        <v>890</v>
      </c>
    </row>
    <row customHeight="1" ht="11.25">
      <c r="A507" s="1856" t="s">
        <v>2288</v>
      </c>
      <c r="B507" s="1856" t="s">
        <v>16</v>
      </c>
      <c r="C507" s="1856" t="s">
        <v>2748</v>
      </c>
      <c r="D507" s="1856" t="s">
        <v>2749</v>
      </c>
      <c r="E507" s="1856" t="s">
        <v>2750</v>
      </c>
      <c r="F507" s="1856" t="s">
        <v>2665</v>
      </c>
      <c r="G507" s="1856" t="s">
        <v>2751</v>
      </c>
      <c r="H507" s="1856" t="s">
        <v>28</v>
      </c>
      <c r="I507" s="1856" t="s">
        <v>890</v>
      </c>
    </row>
    <row customHeight="1" ht="11.25">
      <c r="A508" s="1856" t="s">
        <v>2288</v>
      </c>
      <c r="B508" s="1856" t="s">
        <v>16</v>
      </c>
      <c r="C508" s="1856" t="s">
        <v>3328</v>
      </c>
      <c r="D508" s="1856" t="s">
        <v>3329</v>
      </c>
      <c r="E508" s="1856" t="s">
        <v>3330</v>
      </c>
      <c r="F508" s="1856" t="s">
        <v>3331</v>
      </c>
      <c r="G508" s="1856" t="s">
        <v>2448</v>
      </c>
      <c r="H508" s="1856" t="s">
        <v>28</v>
      </c>
      <c r="I508" s="1856" t="s">
        <v>890</v>
      </c>
    </row>
    <row customHeight="1" ht="11.25">
      <c r="A509" s="1856" t="s">
        <v>2288</v>
      </c>
      <c r="B509" s="1856" t="s">
        <v>16</v>
      </c>
      <c r="C509" s="1856" t="s">
        <v>3332</v>
      </c>
      <c r="D509" s="1856" t="s">
        <v>3333</v>
      </c>
      <c r="E509" s="1856" t="s">
        <v>3334</v>
      </c>
      <c r="F509" s="1856" t="s">
        <v>2300</v>
      </c>
      <c r="G509" s="1856" t="s">
        <v>3335</v>
      </c>
      <c r="H509" s="1856" t="s">
        <v>28</v>
      </c>
      <c r="I509" s="1856" t="s">
        <v>890</v>
      </c>
    </row>
    <row customHeight="1" ht="11.25">
      <c r="A510" s="1856" t="s">
        <v>2288</v>
      </c>
      <c r="B510" s="1856" t="s">
        <v>16</v>
      </c>
      <c r="C510" s="1856" t="s">
        <v>3336</v>
      </c>
      <c r="D510" s="1856" t="s">
        <v>3337</v>
      </c>
      <c r="E510" s="1856" t="s">
        <v>3338</v>
      </c>
      <c r="F510" s="1856" t="s">
        <v>2687</v>
      </c>
      <c r="G510" s="1856" t="s">
        <v>3339</v>
      </c>
      <c r="H510" s="1856" t="s">
        <v>28</v>
      </c>
      <c r="I510" s="1856" t="s">
        <v>890</v>
      </c>
    </row>
    <row customHeight="1" ht="11.25">
      <c r="A511" s="1856" t="s">
        <v>2288</v>
      </c>
      <c r="B511" s="1856" t="s">
        <v>16</v>
      </c>
      <c r="C511" s="1856" t="s">
        <v>3340</v>
      </c>
      <c r="D511" s="1856" t="s">
        <v>3341</v>
      </c>
      <c r="E511" s="1856" t="s">
        <v>3342</v>
      </c>
      <c r="F511" s="1856" t="s">
        <v>3343</v>
      </c>
      <c r="G511" s="1856" t="s">
        <v>3344</v>
      </c>
      <c r="H511" s="1856" t="s">
        <v>28</v>
      </c>
      <c r="I511" s="1856" t="s">
        <v>890</v>
      </c>
    </row>
    <row customHeight="1" ht="11.25">
      <c r="A512" s="1856" t="s">
        <v>2288</v>
      </c>
      <c r="B512" s="1856" t="s">
        <v>16</v>
      </c>
      <c r="C512" s="1856" t="s">
        <v>3345</v>
      </c>
      <c r="D512" s="1856" t="s">
        <v>3346</v>
      </c>
      <c r="E512" s="1856" t="s">
        <v>3347</v>
      </c>
      <c r="F512" s="1856" t="s">
        <v>2665</v>
      </c>
      <c r="G512" s="1856" t="s">
        <v>3348</v>
      </c>
      <c r="H512" s="1856" t="s">
        <v>28</v>
      </c>
      <c r="I512" s="1856" t="s">
        <v>890</v>
      </c>
    </row>
    <row customHeight="1" ht="11.25">
      <c r="A513" s="1856" t="s">
        <v>2288</v>
      </c>
      <c r="B513" s="1856" t="s">
        <v>16</v>
      </c>
      <c r="C513" s="1856" t="s">
        <v>2752</v>
      </c>
      <c r="D513" s="1856" t="s">
        <v>2753</v>
      </c>
      <c r="E513" s="1856" t="s">
        <v>2754</v>
      </c>
      <c r="F513" s="1856" t="s">
        <v>2300</v>
      </c>
      <c r="G513" s="1856" t="s">
        <v>2755</v>
      </c>
      <c r="H513" s="1856" t="s">
        <v>28</v>
      </c>
      <c r="I513" s="1856" t="s">
        <v>890</v>
      </c>
    </row>
    <row customHeight="1" ht="11.25">
      <c r="A514" s="1856" t="s">
        <v>2288</v>
      </c>
      <c r="B514" s="1856" t="s">
        <v>16</v>
      </c>
      <c r="C514" s="1856" t="s">
        <v>3349</v>
      </c>
      <c r="D514" s="1856" t="s">
        <v>3350</v>
      </c>
      <c r="E514" s="1856" t="s">
        <v>3351</v>
      </c>
      <c r="F514" s="1856" t="s">
        <v>2300</v>
      </c>
      <c r="G514" s="1856" t="s">
        <v>3352</v>
      </c>
      <c r="H514" s="1856" t="s">
        <v>28</v>
      </c>
      <c r="I514" s="1856" t="s">
        <v>890</v>
      </c>
    </row>
    <row customHeight="1" ht="11.25">
      <c r="A515" s="1856" t="s">
        <v>2288</v>
      </c>
      <c r="B515" s="1856" t="s">
        <v>16</v>
      </c>
      <c r="C515" s="1856" t="s">
        <v>3353</v>
      </c>
      <c r="D515" s="1856" t="s">
        <v>3354</v>
      </c>
      <c r="E515" s="1856" t="s">
        <v>3355</v>
      </c>
      <c r="F515" s="1856" t="s">
        <v>2300</v>
      </c>
      <c r="G515" s="1856" t="s">
        <v>3356</v>
      </c>
      <c r="H515" s="1856" t="s">
        <v>28</v>
      </c>
      <c r="I515" s="1856" t="s">
        <v>890</v>
      </c>
    </row>
    <row customHeight="1" ht="11.25">
      <c r="A516" s="1856" t="s">
        <v>2288</v>
      </c>
      <c r="B516" s="1856" t="s">
        <v>16</v>
      </c>
      <c r="C516" s="1856" t="s">
        <v>2765</v>
      </c>
      <c r="D516" s="1856" t="s">
        <v>2766</v>
      </c>
      <c r="E516" s="1856" t="s">
        <v>2767</v>
      </c>
      <c r="F516" s="1856" t="s">
        <v>2300</v>
      </c>
      <c r="G516" s="1856" t="s">
        <v>2768</v>
      </c>
      <c r="H516" s="1856" t="s">
        <v>28</v>
      </c>
      <c r="I516" s="1856" t="s">
        <v>890</v>
      </c>
    </row>
    <row customHeight="1" ht="11.25">
      <c r="A517" s="1856" t="s">
        <v>2288</v>
      </c>
      <c r="B517" s="1856" t="s">
        <v>16</v>
      </c>
      <c r="C517" s="1856" t="s">
        <v>2773</v>
      </c>
      <c r="D517" s="1856" t="s">
        <v>2774</v>
      </c>
      <c r="E517" s="1856" t="s">
        <v>2775</v>
      </c>
      <c r="F517" s="1856" t="s">
        <v>2656</v>
      </c>
      <c r="G517" s="1856" t="s">
        <v>2776</v>
      </c>
      <c r="H517" s="1856" t="s">
        <v>28</v>
      </c>
      <c r="I517" s="1856" t="s">
        <v>890</v>
      </c>
    </row>
    <row customHeight="1" ht="11.25">
      <c r="A518" s="1856" t="s">
        <v>2288</v>
      </c>
      <c r="B518" s="1856" t="s">
        <v>16</v>
      </c>
      <c r="C518" s="1856" t="s">
        <v>3357</v>
      </c>
      <c r="D518" s="1856" t="s">
        <v>3358</v>
      </c>
      <c r="E518" s="1856" t="s">
        <v>3359</v>
      </c>
      <c r="F518" s="1856" t="s">
        <v>2687</v>
      </c>
      <c r="G518" s="1856" t="s">
        <v>3360</v>
      </c>
      <c r="H518" s="1856" t="s">
        <v>28</v>
      </c>
      <c r="I518" s="1856" t="s">
        <v>890</v>
      </c>
    </row>
    <row customHeight="1" ht="11.25">
      <c r="A519" s="1856" t="s">
        <v>2288</v>
      </c>
      <c r="B519" s="1856" t="s">
        <v>16</v>
      </c>
      <c r="C519" s="1856" t="s">
        <v>2781</v>
      </c>
      <c r="D519" s="1856" t="s">
        <v>2782</v>
      </c>
      <c r="E519" s="1856" t="s">
        <v>2783</v>
      </c>
      <c r="F519" s="1856" t="s">
        <v>2300</v>
      </c>
      <c r="G519" s="1856" t="s">
        <v>2784</v>
      </c>
      <c r="H519" s="1856" t="s">
        <v>28</v>
      </c>
      <c r="I519" s="1856" t="s">
        <v>890</v>
      </c>
    </row>
    <row customHeight="1" ht="11.25">
      <c r="A520" s="1856" t="s">
        <v>2288</v>
      </c>
      <c r="B520" s="1856" t="s">
        <v>16</v>
      </c>
      <c r="C520" s="1856" t="s">
        <v>3361</v>
      </c>
      <c r="D520" s="1856" t="s">
        <v>3362</v>
      </c>
      <c r="E520" s="1856" t="s">
        <v>3363</v>
      </c>
      <c r="F520" s="1856" t="s">
        <v>2300</v>
      </c>
      <c r="G520" s="1856" t="s">
        <v>3364</v>
      </c>
      <c r="H520" s="1856" t="s">
        <v>28</v>
      </c>
      <c r="I520" s="1856" t="s">
        <v>890</v>
      </c>
    </row>
    <row customHeight="1" ht="11.25">
      <c r="A521" s="1856" t="s">
        <v>2288</v>
      </c>
      <c r="B521" s="1856" t="s">
        <v>16</v>
      </c>
      <c r="C521" s="1856" t="s">
        <v>2798</v>
      </c>
      <c r="D521" s="1856" t="s">
        <v>2799</v>
      </c>
      <c r="E521" s="1856" t="s">
        <v>2800</v>
      </c>
      <c r="F521" s="1856" t="s">
        <v>2328</v>
      </c>
      <c r="G521" s="1856" t="s">
        <v>2801</v>
      </c>
      <c r="H521" s="1856" t="s">
        <v>28</v>
      </c>
      <c r="I521" s="1856" t="s">
        <v>890</v>
      </c>
    </row>
    <row customHeight="1" ht="11.25">
      <c r="A522" s="1856" t="s">
        <v>2288</v>
      </c>
      <c r="B522" s="1856" t="s">
        <v>16</v>
      </c>
      <c r="C522" s="1856" t="s">
        <v>2817</v>
      </c>
      <c r="D522" s="1856" t="s">
        <v>2818</v>
      </c>
      <c r="E522" s="1856" t="s">
        <v>2819</v>
      </c>
      <c r="F522" s="1856" t="s">
        <v>2391</v>
      </c>
      <c r="G522" s="1856" t="s">
        <v>2820</v>
      </c>
      <c r="H522" s="1856" t="s">
        <v>28</v>
      </c>
      <c r="I522" s="1856" t="s">
        <v>890</v>
      </c>
    </row>
    <row customHeight="1" ht="11.25">
      <c r="A523" s="1856" t="s">
        <v>2288</v>
      </c>
      <c r="B523" s="1856" t="s">
        <v>16</v>
      </c>
      <c r="C523" s="1856" t="s">
        <v>3365</v>
      </c>
      <c r="D523" s="1856" t="s">
        <v>3366</v>
      </c>
      <c r="E523" s="1856" t="s">
        <v>3367</v>
      </c>
      <c r="F523" s="1856" t="s">
        <v>2665</v>
      </c>
      <c r="G523" s="1856" t="s">
        <v>3368</v>
      </c>
      <c r="H523" s="1856" t="s">
        <v>28</v>
      </c>
      <c r="I523" s="1856" t="s">
        <v>890</v>
      </c>
    </row>
    <row customHeight="1" ht="11.25">
      <c r="A524" s="1856" t="s">
        <v>2288</v>
      </c>
      <c r="B524" s="1856" t="s">
        <v>16</v>
      </c>
      <c r="C524" s="1856" t="s">
        <v>2821</v>
      </c>
      <c r="D524" s="1856" t="s">
        <v>2822</v>
      </c>
      <c r="E524" s="1856" t="s">
        <v>2823</v>
      </c>
      <c r="F524" s="1856" t="s">
        <v>2692</v>
      </c>
      <c r="G524" s="1856" t="s">
        <v>2824</v>
      </c>
      <c r="H524" s="1856" t="s">
        <v>28</v>
      </c>
      <c r="I524" s="1856" t="s">
        <v>890</v>
      </c>
    </row>
    <row customHeight="1" ht="11.25">
      <c r="A525" s="1856" t="s">
        <v>2288</v>
      </c>
      <c r="B525" s="1856" t="s">
        <v>16</v>
      </c>
      <c r="C525" s="1856" t="s">
        <v>2825</v>
      </c>
      <c r="D525" s="1856" t="s">
        <v>2826</v>
      </c>
      <c r="E525" s="1856" t="s">
        <v>2827</v>
      </c>
      <c r="F525" s="1856" t="s">
        <v>2319</v>
      </c>
      <c r="G525" s="1856" t="s">
        <v>2828</v>
      </c>
      <c r="H525" s="1856" t="s">
        <v>28</v>
      </c>
      <c r="I525" s="1856" t="s">
        <v>890</v>
      </c>
    </row>
    <row customHeight="1" ht="11.25">
      <c r="A526" s="1856" t="s">
        <v>2288</v>
      </c>
      <c r="B526" s="1856" t="s">
        <v>16</v>
      </c>
      <c r="C526" s="1856" t="s">
        <v>2833</v>
      </c>
      <c r="D526" s="1856" t="s">
        <v>2834</v>
      </c>
      <c r="E526" s="1856" t="s">
        <v>2835</v>
      </c>
      <c r="F526" s="1856" t="s">
        <v>2300</v>
      </c>
      <c r="G526" s="1856" t="s">
        <v>2836</v>
      </c>
      <c r="H526" s="1856" t="s">
        <v>28</v>
      </c>
      <c r="I526" s="1856" t="s">
        <v>890</v>
      </c>
    </row>
    <row customHeight="1" ht="11.25">
      <c r="A527" s="1856" t="s">
        <v>2288</v>
      </c>
      <c r="B527" s="1856" t="s">
        <v>16</v>
      </c>
      <c r="C527" s="1856" t="s">
        <v>2837</v>
      </c>
      <c r="D527" s="1856" t="s">
        <v>2838</v>
      </c>
      <c r="E527" s="1856" t="s">
        <v>2839</v>
      </c>
      <c r="F527" s="1856" t="s">
        <v>2840</v>
      </c>
      <c r="G527" s="1856" t="s">
        <v>2841</v>
      </c>
      <c r="H527" s="1856" t="s">
        <v>28</v>
      </c>
      <c r="I527" s="1856" t="s">
        <v>890</v>
      </c>
    </row>
    <row customHeight="1" ht="11.25">
      <c r="A528" s="1856" t="s">
        <v>2288</v>
      </c>
      <c r="B528" s="1856" t="s">
        <v>16</v>
      </c>
      <c r="C528" s="1856" t="s">
        <v>2842</v>
      </c>
      <c r="D528" s="1856" t="s">
        <v>2843</v>
      </c>
      <c r="E528" s="1856" t="s">
        <v>2844</v>
      </c>
      <c r="F528" s="1856" t="s">
        <v>2687</v>
      </c>
      <c r="G528" s="1856" t="s">
        <v>2845</v>
      </c>
      <c r="H528" s="1856" t="s">
        <v>28</v>
      </c>
      <c r="I528" s="1856" t="s">
        <v>890</v>
      </c>
    </row>
    <row customHeight="1" ht="11.25">
      <c r="A529" s="1856" t="s">
        <v>2288</v>
      </c>
      <c r="B529" s="1856" t="s">
        <v>16</v>
      </c>
      <c r="C529" s="1856" t="s">
        <v>2846</v>
      </c>
      <c r="D529" s="1856" t="s">
        <v>2847</v>
      </c>
      <c r="E529" s="1856" t="s">
        <v>2848</v>
      </c>
      <c r="F529" s="1856" t="s">
        <v>2840</v>
      </c>
      <c r="G529" s="1856" t="s">
        <v>2849</v>
      </c>
      <c r="H529" s="1856" t="s">
        <v>28</v>
      </c>
      <c r="I529" s="1856" t="s">
        <v>890</v>
      </c>
    </row>
    <row customHeight="1" ht="11.25">
      <c r="A530" s="1856" t="s">
        <v>2288</v>
      </c>
      <c r="B530" s="1856" t="s">
        <v>16</v>
      </c>
      <c r="C530" s="1856" t="s">
        <v>3369</v>
      </c>
      <c r="D530" s="1856" t="s">
        <v>3370</v>
      </c>
      <c r="E530" s="1856" t="s">
        <v>3371</v>
      </c>
      <c r="F530" s="1856" t="s">
        <v>2300</v>
      </c>
      <c r="G530" s="1856" t="s">
        <v>3372</v>
      </c>
      <c r="H530" s="1856" t="s">
        <v>28</v>
      </c>
      <c r="I530" s="1856" t="s">
        <v>890</v>
      </c>
    </row>
    <row customHeight="1" ht="11.25">
      <c r="A531" s="1856" t="s">
        <v>2288</v>
      </c>
      <c r="B531" s="1856" t="s">
        <v>16</v>
      </c>
      <c r="C531" s="1856" t="s">
        <v>2854</v>
      </c>
      <c r="D531" s="1856" t="s">
        <v>2855</v>
      </c>
      <c r="E531" s="1856" t="s">
        <v>2856</v>
      </c>
      <c r="F531" s="1856" t="s">
        <v>2840</v>
      </c>
      <c r="G531" s="1856" t="s">
        <v>2857</v>
      </c>
      <c r="H531" s="1856" t="s">
        <v>28</v>
      </c>
      <c r="I531" s="1856" t="s">
        <v>890</v>
      </c>
    </row>
    <row customHeight="1" ht="11.25">
      <c r="A532" s="1856" t="s">
        <v>2288</v>
      </c>
      <c r="B532" s="1856" t="s">
        <v>16</v>
      </c>
      <c r="C532" s="1856" t="s">
        <v>2877</v>
      </c>
      <c r="D532" s="1856" t="s">
        <v>2878</v>
      </c>
      <c r="E532" s="1856" t="s">
        <v>2879</v>
      </c>
      <c r="F532" s="1856" t="s">
        <v>2674</v>
      </c>
      <c r="G532" s="1856" t="s">
        <v>2880</v>
      </c>
      <c r="H532" s="1856" t="s">
        <v>28</v>
      </c>
      <c r="I532" s="1856" t="s">
        <v>890</v>
      </c>
    </row>
    <row customHeight="1" ht="11.25">
      <c r="A533" s="1856" t="s">
        <v>2288</v>
      </c>
      <c r="B533" s="1856" t="s">
        <v>16</v>
      </c>
      <c r="C533" s="1856" t="s">
        <v>2885</v>
      </c>
      <c r="D533" s="1856" t="s">
        <v>2886</v>
      </c>
      <c r="E533" s="1856" t="s">
        <v>2887</v>
      </c>
      <c r="F533" s="1856" t="s">
        <v>2888</v>
      </c>
      <c r="G533" s="1856" t="s">
        <v>2889</v>
      </c>
      <c r="H533" s="1856" t="s">
        <v>28</v>
      </c>
      <c r="I533" s="1856" t="s">
        <v>890</v>
      </c>
    </row>
    <row customHeight="1" ht="11.25">
      <c r="A534" s="1856" t="s">
        <v>2288</v>
      </c>
      <c r="B534" s="1856" t="s">
        <v>16</v>
      </c>
      <c r="C534" s="1856" t="s">
        <v>2895</v>
      </c>
      <c r="D534" s="1856" t="s">
        <v>2896</v>
      </c>
      <c r="E534" s="1856" t="s">
        <v>2897</v>
      </c>
      <c r="F534" s="1856" t="s">
        <v>2788</v>
      </c>
      <c r="G534" s="1856" t="s">
        <v>2898</v>
      </c>
      <c r="H534" s="1856" t="s">
        <v>28</v>
      </c>
      <c r="I534" s="1856" t="s">
        <v>890</v>
      </c>
    </row>
    <row customHeight="1" ht="11.25">
      <c r="A535" s="1856" t="s">
        <v>2288</v>
      </c>
      <c r="B535" s="1856" t="s">
        <v>16</v>
      </c>
      <c r="C535" s="1856" t="s">
        <v>3373</v>
      </c>
      <c r="D535" s="1856" t="s">
        <v>3374</v>
      </c>
      <c r="E535" s="1856" t="s">
        <v>3375</v>
      </c>
      <c r="F535" s="1856" t="s">
        <v>2300</v>
      </c>
      <c r="G535" s="1856" t="s">
        <v>3376</v>
      </c>
      <c r="H535" s="1856" t="s">
        <v>28</v>
      </c>
      <c r="I535" s="1856" t="s">
        <v>890</v>
      </c>
    </row>
    <row customHeight="1" ht="11.25">
      <c r="A536" s="1856" t="s">
        <v>2288</v>
      </c>
      <c r="B536" s="1856" t="s">
        <v>16</v>
      </c>
      <c r="C536" s="1856" t="s">
        <v>3377</v>
      </c>
      <c r="D536" s="1856" t="s">
        <v>3378</v>
      </c>
      <c r="E536" s="1856" t="s">
        <v>3379</v>
      </c>
      <c r="F536" s="1856" t="s">
        <v>2687</v>
      </c>
      <c r="G536" s="1856" t="s">
        <v>3380</v>
      </c>
      <c r="H536" s="1856" t="s">
        <v>28</v>
      </c>
      <c r="I536" s="1856" t="s">
        <v>890</v>
      </c>
    </row>
    <row customHeight="1" ht="11.25">
      <c r="A537" s="1856" t="s">
        <v>2288</v>
      </c>
      <c r="B537" s="1856" t="s">
        <v>16</v>
      </c>
      <c r="C537" s="1856" t="s">
        <v>3381</v>
      </c>
      <c r="D537" s="1856" t="s">
        <v>3382</v>
      </c>
      <c r="E537" s="1856" t="s">
        <v>3383</v>
      </c>
      <c r="F537" s="1856" t="s">
        <v>2300</v>
      </c>
      <c r="G537" s="1856" t="s">
        <v>3384</v>
      </c>
      <c r="H537" s="1856" t="s">
        <v>28</v>
      </c>
      <c r="I537" s="1856" t="s">
        <v>890</v>
      </c>
    </row>
    <row customHeight="1" ht="11.25">
      <c r="A538" s="1856" t="s">
        <v>2288</v>
      </c>
      <c r="B538" s="1856" t="s">
        <v>16</v>
      </c>
      <c r="C538" s="1856" t="s">
        <v>2911</v>
      </c>
      <c r="D538" s="1856" t="s">
        <v>2912</v>
      </c>
      <c r="E538" s="1856" t="s">
        <v>2913</v>
      </c>
      <c r="F538" s="1856" t="s">
        <v>2300</v>
      </c>
      <c r="G538" s="1856" t="s">
        <v>2914</v>
      </c>
      <c r="H538" s="1856" t="s">
        <v>28</v>
      </c>
      <c r="I538" s="1856" t="s">
        <v>890</v>
      </c>
    </row>
    <row customHeight="1" ht="11.25">
      <c r="A539" s="1856" t="s">
        <v>2288</v>
      </c>
      <c r="B539" s="1856" t="s">
        <v>16</v>
      </c>
      <c r="C539" s="1856" t="s">
        <v>2922</v>
      </c>
      <c r="D539" s="1856" t="s">
        <v>2923</v>
      </c>
      <c r="E539" s="1856" t="s">
        <v>2924</v>
      </c>
      <c r="F539" s="1856" t="s">
        <v>2687</v>
      </c>
      <c r="G539" s="1856" t="s">
        <v>2925</v>
      </c>
      <c r="H539" s="1856" t="s">
        <v>28</v>
      </c>
      <c r="I539" s="1856" t="s">
        <v>890</v>
      </c>
    </row>
    <row customHeight="1" ht="11.25">
      <c r="A540" s="1856" t="s">
        <v>2288</v>
      </c>
      <c r="B540" s="1856" t="s">
        <v>16</v>
      </c>
      <c r="C540" s="1856" t="s">
        <v>3385</v>
      </c>
      <c r="D540" s="1856" t="s">
        <v>3386</v>
      </c>
      <c r="E540" s="1856" t="s">
        <v>3387</v>
      </c>
      <c r="F540" s="1856" t="s">
        <v>2656</v>
      </c>
      <c r="G540" s="1856" t="s">
        <v>3388</v>
      </c>
      <c r="H540" s="1856" t="s">
        <v>28</v>
      </c>
      <c r="I540" s="1856" t="s">
        <v>890</v>
      </c>
    </row>
    <row customHeight="1" ht="11.25">
      <c r="A541" s="1856" t="s">
        <v>2288</v>
      </c>
      <c r="B541" s="1856" t="s">
        <v>16</v>
      </c>
      <c r="C541" s="1856" t="s">
        <v>2934</v>
      </c>
      <c r="D541" s="1856" t="s">
        <v>2935</v>
      </c>
      <c r="E541" s="1856" t="s">
        <v>2936</v>
      </c>
      <c r="F541" s="1856" t="s">
        <v>2300</v>
      </c>
      <c r="G541" s="1856" t="s">
        <v>2937</v>
      </c>
      <c r="H541" s="1856" t="s">
        <v>28</v>
      </c>
      <c r="I541" s="1856" t="s">
        <v>890</v>
      </c>
    </row>
    <row customHeight="1" ht="11.25">
      <c r="A542" s="1856" t="s">
        <v>2288</v>
      </c>
      <c r="B542" s="1856" t="s">
        <v>16</v>
      </c>
      <c r="C542" s="1856" t="s">
        <v>2938</v>
      </c>
      <c r="D542" s="1856" t="s">
        <v>2939</v>
      </c>
      <c r="E542" s="1856" t="s">
        <v>2940</v>
      </c>
      <c r="F542" s="1856" t="s">
        <v>2333</v>
      </c>
      <c r="G542" s="1856" t="s">
        <v>2941</v>
      </c>
      <c r="H542" s="1856" t="s">
        <v>28</v>
      </c>
      <c r="I542" s="1856" t="s">
        <v>890</v>
      </c>
    </row>
    <row customHeight="1" ht="11.25">
      <c r="A543" s="1856" t="s">
        <v>2288</v>
      </c>
      <c r="B543" s="1856" t="s">
        <v>16</v>
      </c>
      <c r="C543" s="1856" t="s">
        <v>2942</v>
      </c>
      <c r="D543" s="1856" t="s">
        <v>2943</v>
      </c>
      <c r="E543" s="1856" t="s">
        <v>2944</v>
      </c>
      <c r="F543" s="1856" t="s">
        <v>2701</v>
      </c>
      <c r="G543" s="1856" t="s">
        <v>2945</v>
      </c>
      <c r="H543" s="1856" t="s">
        <v>28</v>
      </c>
      <c r="I543" s="1856" t="s">
        <v>890</v>
      </c>
    </row>
    <row customHeight="1" ht="11.25">
      <c r="A544" s="1856" t="s">
        <v>2288</v>
      </c>
      <c r="B544" s="1856" t="s">
        <v>16</v>
      </c>
      <c r="C544" s="1856" t="s">
        <v>3389</v>
      </c>
      <c r="D544" s="1856" t="s">
        <v>3390</v>
      </c>
      <c r="E544" s="1856" t="s">
        <v>3391</v>
      </c>
      <c r="F544" s="1856" t="s">
        <v>2300</v>
      </c>
      <c r="G544" s="1856" t="s">
        <v>3392</v>
      </c>
      <c r="H544" s="1856" t="s">
        <v>28</v>
      </c>
      <c r="I544" s="1856" t="s">
        <v>890</v>
      </c>
    </row>
    <row customHeight="1" ht="11.25">
      <c r="A545" s="1856" t="s">
        <v>2288</v>
      </c>
      <c r="B545" s="1856" t="s">
        <v>16</v>
      </c>
      <c r="C545" s="1856" t="s">
        <v>3393</v>
      </c>
      <c r="D545" s="1856" t="s">
        <v>3394</v>
      </c>
      <c r="E545" s="1856" t="s">
        <v>3395</v>
      </c>
      <c r="F545" s="1856" t="s">
        <v>2300</v>
      </c>
      <c r="G545" s="1856" t="s">
        <v>3396</v>
      </c>
      <c r="H545" s="1856" t="s">
        <v>28</v>
      </c>
      <c r="I545" s="1856" t="s">
        <v>890</v>
      </c>
    </row>
    <row customHeight="1" ht="11.25">
      <c r="A546" s="1856" t="s">
        <v>2288</v>
      </c>
      <c r="B546" s="1856" t="s">
        <v>16</v>
      </c>
      <c r="C546" s="1856" t="s">
        <v>2980</v>
      </c>
      <c r="D546" s="1856" t="s">
        <v>2981</v>
      </c>
      <c r="E546" s="1856" t="s">
        <v>2982</v>
      </c>
      <c r="F546" s="1856" t="s">
        <v>2391</v>
      </c>
      <c r="G546" s="1856" t="s">
        <v>2983</v>
      </c>
      <c r="H546" s="1856" t="s">
        <v>28</v>
      </c>
      <c r="I546" s="1856" t="s">
        <v>890</v>
      </c>
    </row>
    <row customHeight="1" ht="11.25">
      <c r="A547" s="1856" t="s">
        <v>2288</v>
      </c>
      <c r="B547" s="1856" t="s">
        <v>16</v>
      </c>
      <c r="C547" s="1856" t="s">
        <v>2984</v>
      </c>
      <c r="D547" s="1856" t="s">
        <v>2985</v>
      </c>
      <c r="E547" s="1856" t="s">
        <v>2986</v>
      </c>
      <c r="F547" s="1856" t="s">
        <v>2646</v>
      </c>
      <c r="G547" s="1856" t="s">
        <v>2987</v>
      </c>
      <c r="H547" s="1856" t="s">
        <v>28</v>
      </c>
      <c r="I547" s="1856" t="s">
        <v>890</v>
      </c>
    </row>
    <row customHeight="1" ht="11.25">
      <c r="A548" s="1856" t="s">
        <v>2288</v>
      </c>
      <c r="B548" s="1856" t="s">
        <v>16</v>
      </c>
      <c r="C548" s="1856" t="s">
        <v>2988</v>
      </c>
      <c r="D548" s="1856" t="s">
        <v>2989</v>
      </c>
      <c r="E548" s="1856" t="s">
        <v>2990</v>
      </c>
      <c r="F548" s="1856" t="s">
        <v>2300</v>
      </c>
      <c r="G548" s="1856" t="s">
        <v>2991</v>
      </c>
      <c r="H548" s="1856" t="s">
        <v>28</v>
      </c>
      <c r="I548" s="1856" t="s">
        <v>890</v>
      </c>
    </row>
    <row customHeight="1" ht="11.25">
      <c r="A549" s="1856" t="s">
        <v>2288</v>
      </c>
      <c r="B549" s="1856" t="s">
        <v>16</v>
      </c>
      <c r="C549" s="1856" t="s">
        <v>2992</v>
      </c>
      <c r="D549" s="1856" t="s">
        <v>2993</v>
      </c>
      <c r="E549" s="1856" t="s">
        <v>2994</v>
      </c>
      <c r="F549" s="1856" t="s">
        <v>2300</v>
      </c>
      <c r="G549" s="1856" t="s">
        <v>2995</v>
      </c>
      <c r="H549" s="1856" t="s">
        <v>28</v>
      </c>
      <c r="I549" s="1856" t="s">
        <v>890</v>
      </c>
    </row>
    <row customHeight="1" ht="11.25">
      <c r="A550" s="1856" t="s">
        <v>2288</v>
      </c>
      <c r="B550" s="1856" t="s">
        <v>16</v>
      </c>
      <c r="C550" s="1856" t="s">
        <v>3004</v>
      </c>
      <c r="D550" s="1856" t="s">
        <v>3005</v>
      </c>
      <c r="E550" s="1856" t="s">
        <v>3006</v>
      </c>
      <c r="F550" s="1856" t="s">
        <v>2646</v>
      </c>
      <c r="G550" s="1856" t="s">
        <v>28</v>
      </c>
      <c r="H550" s="1856" t="s">
        <v>28</v>
      </c>
      <c r="I550" s="1856" t="s">
        <v>890</v>
      </c>
    </row>
    <row customHeight="1" ht="11.25">
      <c r="A551" s="1856" t="s">
        <v>2288</v>
      </c>
      <c r="B551" s="1856" t="s">
        <v>16</v>
      </c>
      <c r="C551" s="1856" t="s">
        <v>3024</v>
      </c>
      <c r="D551" s="1856" t="s">
        <v>3025</v>
      </c>
      <c r="E551" s="1856" t="s">
        <v>3026</v>
      </c>
      <c r="F551" s="1856" t="s">
        <v>2651</v>
      </c>
      <c r="G551" s="1856" t="s">
        <v>3027</v>
      </c>
      <c r="H551" s="1856" t="s">
        <v>28</v>
      </c>
      <c r="I551" s="1856" t="s">
        <v>890</v>
      </c>
    </row>
    <row customHeight="1" ht="11.25">
      <c r="A552" s="1856" t="s">
        <v>2288</v>
      </c>
      <c r="B552" s="1856" t="s">
        <v>16</v>
      </c>
      <c r="C552" s="1856" t="s">
        <v>3397</v>
      </c>
      <c r="D552" s="1856" t="s">
        <v>3398</v>
      </c>
      <c r="E552" s="1856" t="s">
        <v>3399</v>
      </c>
      <c r="F552" s="1856" t="s">
        <v>2391</v>
      </c>
      <c r="G552" s="1856" t="s">
        <v>3400</v>
      </c>
      <c r="H552" s="1856" t="s">
        <v>28</v>
      </c>
      <c r="I552" s="1856" t="s">
        <v>890</v>
      </c>
    </row>
    <row customHeight="1" ht="11.25">
      <c r="A553" s="1856" t="s">
        <v>2288</v>
      </c>
      <c r="B553" s="1856" t="s">
        <v>16</v>
      </c>
      <c r="C553" s="1856" t="s">
        <v>3401</v>
      </c>
      <c r="D553" s="1856" t="s">
        <v>3402</v>
      </c>
      <c r="E553" s="1856" t="s">
        <v>3403</v>
      </c>
      <c r="F553" s="1856" t="s">
        <v>2701</v>
      </c>
      <c r="G553" s="1856" t="s">
        <v>3404</v>
      </c>
      <c r="H553" s="1856" t="s">
        <v>28</v>
      </c>
      <c r="I553" s="1856" t="s">
        <v>890</v>
      </c>
    </row>
    <row customHeight="1" ht="11.25">
      <c r="A554" s="1856" t="s">
        <v>2288</v>
      </c>
      <c r="B554" s="1856" t="s">
        <v>16</v>
      </c>
      <c r="C554" s="1856" t="s">
        <v>3037</v>
      </c>
      <c r="D554" s="1856" t="s">
        <v>3038</v>
      </c>
      <c r="E554" s="1856" t="s">
        <v>3039</v>
      </c>
      <c r="F554" s="1856" t="s">
        <v>2656</v>
      </c>
      <c r="G554" s="1856" t="s">
        <v>3040</v>
      </c>
      <c r="H554" s="1856" t="s">
        <v>28</v>
      </c>
      <c r="I554" s="1856" t="s">
        <v>890</v>
      </c>
    </row>
    <row customHeight="1" ht="11.25">
      <c r="A555" s="1856" t="s">
        <v>2288</v>
      </c>
      <c r="B555" s="1856" t="s">
        <v>16</v>
      </c>
      <c r="C555" s="1856" t="s">
        <v>3405</v>
      </c>
      <c r="D555" s="1856" t="s">
        <v>3406</v>
      </c>
      <c r="E555" s="1856" t="s">
        <v>3407</v>
      </c>
      <c r="F555" s="1856" t="s">
        <v>2759</v>
      </c>
      <c r="G555" s="1856" t="s">
        <v>3408</v>
      </c>
      <c r="H555" s="1856" t="s">
        <v>28</v>
      </c>
      <c r="I555" s="1856" t="s">
        <v>890</v>
      </c>
    </row>
    <row customHeight="1" ht="11.25">
      <c r="A556" s="1856" t="s">
        <v>2288</v>
      </c>
      <c r="B556" s="1856" t="s">
        <v>16</v>
      </c>
      <c r="C556" s="1856" t="s">
        <v>3409</v>
      </c>
      <c r="D556" s="1856" t="s">
        <v>3410</v>
      </c>
      <c r="E556" s="1856" t="s">
        <v>3411</v>
      </c>
      <c r="F556" s="1856" t="s">
        <v>2746</v>
      </c>
      <c r="G556" s="1856" t="s">
        <v>3412</v>
      </c>
      <c r="H556" s="1856" t="s">
        <v>28</v>
      </c>
      <c r="I556" s="1856" t="s">
        <v>890</v>
      </c>
    </row>
    <row customHeight="1" ht="11.25">
      <c r="A557" s="1856" t="s">
        <v>2288</v>
      </c>
      <c r="B557" s="1856" t="s">
        <v>16</v>
      </c>
      <c r="C557" s="1856" t="s">
        <v>3413</v>
      </c>
      <c r="D557" s="1856" t="s">
        <v>3414</v>
      </c>
      <c r="E557" s="1856" t="s">
        <v>3415</v>
      </c>
      <c r="F557" s="1856" t="s">
        <v>2656</v>
      </c>
      <c r="G557" s="1856" t="s">
        <v>3416</v>
      </c>
      <c r="H557" s="1856" t="s">
        <v>28</v>
      </c>
      <c r="I557" s="1856" t="s">
        <v>890</v>
      </c>
    </row>
    <row customHeight="1" ht="11.25">
      <c r="A558" s="1856" t="s">
        <v>2288</v>
      </c>
      <c r="B558" s="1856" t="s">
        <v>16</v>
      </c>
      <c r="C558" s="1856" t="s">
        <v>3057</v>
      </c>
      <c r="D558" s="1856" t="s">
        <v>3058</v>
      </c>
      <c r="E558" s="1856" t="s">
        <v>3059</v>
      </c>
      <c r="F558" s="1856" t="s">
        <v>2300</v>
      </c>
      <c r="G558" s="1856" t="s">
        <v>3060</v>
      </c>
      <c r="H558" s="1856" t="s">
        <v>28</v>
      </c>
      <c r="I558" s="1856" t="s">
        <v>890</v>
      </c>
    </row>
    <row customHeight="1" ht="11.25">
      <c r="A559" s="1856" t="s">
        <v>2288</v>
      </c>
      <c r="B559" s="1856" t="s">
        <v>16</v>
      </c>
      <c r="C559" s="1856" t="s">
        <v>3061</v>
      </c>
      <c r="D559" s="1856" t="s">
        <v>3062</v>
      </c>
      <c r="E559" s="1856" t="s">
        <v>3063</v>
      </c>
      <c r="F559" s="1856" t="s">
        <v>2840</v>
      </c>
      <c r="G559" s="1856" t="s">
        <v>3064</v>
      </c>
      <c r="H559" s="1856" t="s">
        <v>28</v>
      </c>
      <c r="I559" s="1856" t="s">
        <v>890</v>
      </c>
    </row>
    <row customHeight="1" ht="11.25">
      <c r="A560" s="1856" t="s">
        <v>2288</v>
      </c>
      <c r="B560" s="1856" t="s">
        <v>16</v>
      </c>
      <c r="C560" s="1856" t="s">
        <v>3077</v>
      </c>
      <c r="D560" s="1856" t="s">
        <v>3078</v>
      </c>
      <c r="E560" s="1856" t="s">
        <v>3079</v>
      </c>
      <c r="F560" s="1856" t="s">
        <v>2300</v>
      </c>
      <c r="G560" s="1856" t="s">
        <v>3080</v>
      </c>
      <c r="H560" s="1856" t="s">
        <v>28</v>
      </c>
      <c r="I560" s="1856" t="s">
        <v>890</v>
      </c>
    </row>
    <row customHeight="1" ht="11.25">
      <c r="A561" s="1856" t="s">
        <v>2288</v>
      </c>
      <c r="B561" s="1856" t="s">
        <v>16</v>
      </c>
      <c r="C561" s="1856" t="s">
        <v>3417</v>
      </c>
      <c r="D561" s="1856" t="s">
        <v>3418</v>
      </c>
      <c r="E561" s="1856" t="s">
        <v>3419</v>
      </c>
      <c r="F561" s="1856" t="s">
        <v>2300</v>
      </c>
      <c r="G561" s="1856" t="s">
        <v>3420</v>
      </c>
      <c r="H561" s="1856" t="s">
        <v>28</v>
      </c>
      <c r="I561" s="1856" t="s">
        <v>890</v>
      </c>
    </row>
    <row customHeight="1" ht="11.25">
      <c r="A562" s="1856" t="s">
        <v>2288</v>
      </c>
      <c r="B562" s="1856" t="s">
        <v>16</v>
      </c>
      <c r="C562" s="1856" t="s">
        <v>3101</v>
      </c>
      <c r="D562" s="1856" t="s">
        <v>3102</v>
      </c>
      <c r="E562" s="1856" t="s">
        <v>3103</v>
      </c>
      <c r="F562" s="1856" t="s">
        <v>2646</v>
      </c>
      <c r="G562" s="1856" t="s">
        <v>3104</v>
      </c>
      <c r="H562" s="1856" t="s">
        <v>28</v>
      </c>
      <c r="I562" s="1856" t="s">
        <v>890</v>
      </c>
    </row>
    <row customHeight="1" ht="11.25">
      <c r="A563" s="1856" t="s">
        <v>2288</v>
      </c>
      <c r="B563" s="1856" t="s">
        <v>16</v>
      </c>
      <c r="C563" s="1856" t="s">
        <v>3110</v>
      </c>
      <c r="D563" s="1856" t="s">
        <v>3111</v>
      </c>
      <c r="E563" s="1856" t="s">
        <v>3112</v>
      </c>
      <c r="F563" s="1856" t="s">
        <v>2300</v>
      </c>
      <c r="G563" s="1856" t="s">
        <v>3113</v>
      </c>
      <c r="H563" s="1856" t="s">
        <v>28</v>
      </c>
      <c r="I563" s="1856" t="s">
        <v>890</v>
      </c>
    </row>
    <row customHeight="1" ht="11.25">
      <c r="A564" s="1856" t="s">
        <v>2288</v>
      </c>
      <c r="B564" s="1856" t="s">
        <v>16</v>
      </c>
      <c r="C564" s="1856" t="s">
        <v>3114</v>
      </c>
      <c r="D564" s="1856" t="s">
        <v>3115</v>
      </c>
      <c r="E564" s="1856" t="s">
        <v>3116</v>
      </c>
      <c r="F564" s="1856" t="s">
        <v>2333</v>
      </c>
      <c r="G564" s="1856" t="s">
        <v>3117</v>
      </c>
      <c r="H564" s="1856" t="s">
        <v>28</v>
      </c>
      <c r="I564" s="1856" t="s">
        <v>890</v>
      </c>
    </row>
    <row customHeight="1" ht="11.25">
      <c r="A565" s="1856" t="s">
        <v>2288</v>
      </c>
      <c r="B565" s="1856" t="s">
        <v>16</v>
      </c>
      <c r="C565" s="1856" t="s">
        <v>3118</v>
      </c>
      <c r="D565" s="1856" t="s">
        <v>3119</v>
      </c>
      <c r="E565" s="1856" t="s">
        <v>3120</v>
      </c>
      <c r="F565" s="1856" t="s">
        <v>3121</v>
      </c>
      <c r="G565" s="1856" t="s">
        <v>28</v>
      </c>
      <c r="H565" s="1856" t="s">
        <v>28</v>
      </c>
      <c r="I565" s="1856" t="s">
        <v>890</v>
      </c>
    </row>
    <row customHeight="1" ht="11.25">
      <c r="A566" s="1856" t="s">
        <v>2288</v>
      </c>
      <c r="B566" s="1856" t="s">
        <v>16</v>
      </c>
      <c r="C566" s="1856" t="s">
        <v>3126</v>
      </c>
      <c r="D566" s="1856" t="s">
        <v>3127</v>
      </c>
      <c r="E566" s="1856" t="s">
        <v>3128</v>
      </c>
      <c r="F566" s="1856" t="s">
        <v>2646</v>
      </c>
      <c r="G566" s="1856" t="s">
        <v>3129</v>
      </c>
      <c r="H566" s="1856" t="s">
        <v>28</v>
      </c>
      <c r="I566" s="1856" t="s">
        <v>890</v>
      </c>
    </row>
    <row customHeight="1" ht="11.25">
      <c r="A567" s="1856" t="s">
        <v>2288</v>
      </c>
      <c r="B567" s="1856" t="s">
        <v>16</v>
      </c>
      <c r="C567" s="1856" t="s">
        <v>3421</v>
      </c>
      <c r="D567" s="1856" t="s">
        <v>3422</v>
      </c>
      <c r="E567" s="1856" t="s">
        <v>3423</v>
      </c>
      <c r="F567" s="1856" t="s">
        <v>2651</v>
      </c>
      <c r="G567" s="1856" t="s">
        <v>3424</v>
      </c>
      <c r="H567" s="1856" t="s">
        <v>28</v>
      </c>
      <c r="I567" s="1856" t="s">
        <v>890</v>
      </c>
    </row>
    <row customHeight="1" ht="11.25">
      <c r="A568" s="1856" t="s">
        <v>2288</v>
      </c>
      <c r="B568" s="1856" t="s">
        <v>16</v>
      </c>
      <c r="C568" s="1856" t="s">
        <v>3134</v>
      </c>
      <c r="D568" s="1856" t="s">
        <v>3135</v>
      </c>
      <c r="E568" s="1856" t="s">
        <v>3136</v>
      </c>
      <c r="F568" s="1856" t="s">
        <v>3108</v>
      </c>
      <c r="G568" s="1856" t="s">
        <v>3137</v>
      </c>
      <c r="H568" s="1856" t="s">
        <v>28</v>
      </c>
      <c r="I568" s="1856" t="s">
        <v>890</v>
      </c>
    </row>
    <row customHeight="1" ht="11.25">
      <c r="A569" s="1856" t="s">
        <v>2288</v>
      </c>
      <c r="B569" s="1856" t="s">
        <v>16</v>
      </c>
      <c r="C569" s="1856" t="s">
        <v>3150</v>
      </c>
      <c r="D569" s="1856" t="s">
        <v>3151</v>
      </c>
      <c r="E569" s="1856" t="s">
        <v>3152</v>
      </c>
      <c r="F569" s="1856" t="s">
        <v>2400</v>
      </c>
      <c r="G569" s="1856" t="s">
        <v>3153</v>
      </c>
      <c r="H569" s="1856" t="s">
        <v>28</v>
      </c>
      <c r="I569" s="1856" t="s">
        <v>890</v>
      </c>
    </row>
    <row customHeight="1" ht="11.25">
      <c r="A570" s="1856" t="s">
        <v>2288</v>
      </c>
      <c r="B570" s="1856" t="s">
        <v>16</v>
      </c>
      <c r="C570" s="1856" t="s">
        <v>3425</v>
      </c>
      <c r="D570" s="1856" t="s">
        <v>3426</v>
      </c>
      <c r="E570" s="1856" t="s">
        <v>3427</v>
      </c>
      <c r="F570" s="1856" t="s">
        <v>2333</v>
      </c>
      <c r="G570" s="1856" t="s">
        <v>3428</v>
      </c>
      <c r="H570" s="1856" t="s">
        <v>28</v>
      </c>
      <c r="I570" s="1856" t="s">
        <v>890</v>
      </c>
    </row>
    <row customHeight="1" ht="11.25">
      <c r="A571" s="1856" t="s">
        <v>2288</v>
      </c>
      <c r="B571" s="1856" t="s">
        <v>16</v>
      </c>
      <c r="C571" s="1856" t="s">
        <v>3166</v>
      </c>
      <c r="D571" s="1856" t="s">
        <v>3167</v>
      </c>
      <c r="E571" s="1856" t="s">
        <v>2425</v>
      </c>
      <c r="F571" s="1856" t="s">
        <v>2376</v>
      </c>
      <c r="G571" s="1856" t="s">
        <v>3168</v>
      </c>
      <c r="H571" s="1856" t="s">
        <v>28</v>
      </c>
      <c r="I571" s="1856" t="s">
        <v>890</v>
      </c>
    </row>
    <row customHeight="1" ht="11.25">
      <c r="A572" s="1856" t="s">
        <v>2288</v>
      </c>
      <c r="B572" s="1856" t="s">
        <v>16</v>
      </c>
      <c r="C572" s="1856" t="s">
        <v>3177</v>
      </c>
      <c r="D572" s="1856" t="s">
        <v>3178</v>
      </c>
      <c r="E572" s="1856" t="s">
        <v>3179</v>
      </c>
      <c r="F572" s="1856" t="s">
        <v>3180</v>
      </c>
      <c r="G572" s="1856" t="s">
        <v>3181</v>
      </c>
      <c r="H572" s="1856" t="s">
        <v>28</v>
      </c>
      <c r="I572" s="1856" t="s">
        <v>890</v>
      </c>
    </row>
    <row customHeight="1" ht="11.25">
      <c r="A573" s="1856" t="s">
        <v>2288</v>
      </c>
      <c r="B573" s="1856" t="s">
        <v>16</v>
      </c>
      <c r="C573" s="1856" t="s">
        <v>3182</v>
      </c>
      <c r="D573" s="1856" t="s">
        <v>3183</v>
      </c>
      <c r="E573" s="1856" t="s">
        <v>3179</v>
      </c>
      <c r="F573" s="1856" t="s">
        <v>2435</v>
      </c>
      <c r="G573" s="1856" t="s">
        <v>28</v>
      </c>
      <c r="H573" s="1856" t="s">
        <v>28</v>
      </c>
      <c r="I573" s="1856" t="s">
        <v>890</v>
      </c>
    </row>
    <row customHeight="1" ht="11.25">
      <c r="A574" s="1856" t="s">
        <v>2288</v>
      </c>
      <c r="B574" s="1856" t="s">
        <v>16</v>
      </c>
      <c r="C574" s="1856" t="s">
        <v>3429</v>
      </c>
      <c r="D574" s="1856" t="s">
        <v>3430</v>
      </c>
      <c r="E574" s="1856" t="s">
        <v>3179</v>
      </c>
      <c r="F574" s="1856" t="s">
        <v>3431</v>
      </c>
      <c r="G574" s="1856" t="s">
        <v>28</v>
      </c>
      <c r="H574" s="1856" t="s">
        <v>28</v>
      </c>
      <c r="I574" s="1856" t="s">
        <v>890</v>
      </c>
    </row>
    <row customHeight="1" ht="11.25">
      <c r="A575" s="1856" t="s">
        <v>2288</v>
      </c>
      <c r="B575" s="1856" t="s">
        <v>16</v>
      </c>
      <c r="C575" s="1856" t="s">
        <v>3190</v>
      </c>
      <c r="D575" s="1856" t="s">
        <v>3191</v>
      </c>
      <c r="E575" s="1856" t="s">
        <v>3179</v>
      </c>
      <c r="F575" s="1856" t="s">
        <v>3192</v>
      </c>
      <c r="G575" s="1856" t="s">
        <v>3187</v>
      </c>
      <c r="H575" s="1856" t="s">
        <v>28</v>
      </c>
      <c r="I575" s="1856" t="s">
        <v>890</v>
      </c>
    </row>
    <row customHeight="1" ht="11.25">
      <c r="A576" s="1856" t="s">
        <v>2288</v>
      </c>
      <c r="B576" s="1856" t="s">
        <v>16</v>
      </c>
      <c r="C576" s="1856" t="s">
        <v>3432</v>
      </c>
      <c r="D576" s="1856" t="s">
        <v>3433</v>
      </c>
      <c r="E576" s="1856" t="s">
        <v>3434</v>
      </c>
      <c r="F576" s="1856" t="s">
        <v>2746</v>
      </c>
      <c r="G576" s="1856" t="s">
        <v>3435</v>
      </c>
      <c r="H576" s="1856" t="s">
        <v>28</v>
      </c>
      <c r="I576" s="1856" t="s">
        <v>890</v>
      </c>
    </row>
    <row customHeight="1" ht="11.25">
      <c r="A577" s="1856" t="s">
        <v>2288</v>
      </c>
      <c r="B577" s="1856" t="s">
        <v>16</v>
      </c>
      <c r="C577" s="1856" t="s">
        <v>3217</v>
      </c>
      <c r="D577" s="1856" t="s">
        <v>3218</v>
      </c>
      <c r="E577" s="1856" t="s">
        <v>3219</v>
      </c>
      <c r="F577" s="1856" t="s">
        <v>2665</v>
      </c>
      <c r="G577" s="1856" t="s">
        <v>3220</v>
      </c>
      <c r="H577" s="1856" t="s">
        <v>28</v>
      </c>
      <c r="I577" s="1856" t="s">
        <v>890</v>
      </c>
    </row>
    <row customHeight="1" ht="11.25">
      <c r="A578" s="1856" t="s">
        <v>2288</v>
      </c>
      <c r="B578" s="1856" t="s">
        <v>16</v>
      </c>
      <c r="C578" s="1856" t="s">
        <v>3221</v>
      </c>
      <c r="D578" s="1856" t="s">
        <v>3222</v>
      </c>
      <c r="E578" s="1856" t="s">
        <v>3214</v>
      </c>
      <c r="F578" s="1856" t="s">
        <v>2483</v>
      </c>
      <c r="G578" s="1856" t="s">
        <v>3223</v>
      </c>
      <c r="H578" s="1856" t="s">
        <v>28</v>
      </c>
      <c r="I578" s="1856" t="s">
        <v>890</v>
      </c>
    </row>
    <row customHeight="1" ht="11.25">
      <c r="A579" s="1856" t="s">
        <v>2288</v>
      </c>
      <c r="B579" s="1856" t="s">
        <v>16</v>
      </c>
      <c r="C579" s="1856" t="s">
        <v>3436</v>
      </c>
      <c r="D579" s="1856" t="s">
        <v>3437</v>
      </c>
      <c r="E579" s="1856" t="s">
        <v>3330</v>
      </c>
      <c r="F579" s="1856" t="s">
        <v>3438</v>
      </c>
      <c r="G579" s="1856" t="s">
        <v>3439</v>
      </c>
      <c r="H579" s="1856" t="s">
        <v>28</v>
      </c>
      <c r="I579" s="1856" t="s">
        <v>890</v>
      </c>
    </row>
    <row customHeight="1" ht="11.25">
      <c r="A580" s="1856" t="s">
        <v>2288</v>
      </c>
      <c r="B580" s="1856" t="s">
        <v>16</v>
      </c>
      <c r="C580" s="1856" t="s">
        <v>3224</v>
      </c>
      <c r="D580" s="1856" t="s">
        <v>3225</v>
      </c>
      <c r="E580" s="1856" t="s">
        <v>2425</v>
      </c>
      <c r="F580" s="1856" t="s">
        <v>3226</v>
      </c>
      <c r="G580" s="1856" t="s">
        <v>2436</v>
      </c>
      <c r="H580" s="1856" t="s">
        <v>28</v>
      </c>
      <c r="I580" s="1856" t="s">
        <v>890</v>
      </c>
    </row>
    <row customHeight="1" ht="11.25">
      <c r="A581" s="1856" t="s">
        <v>2288</v>
      </c>
      <c r="B581" s="1856" t="s">
        <v>16</v>
      </c>
      <c r="C581" s="1856" t="s">
        <v>3227</v>
      </c>
      <c r="D581" s="1856" t="s">
        <v>3228</v>
      </c>
      <c r="E581" s="1856" t="s">
        <v>2425</v>
      </c>
      <c r="F581" s="1856" t="s">
        <v>3229</v>
      </c>
      <c r="G581" s="1856" t="s">
        <v>2436</v>
      </c>
      <c r="H581" s="1856" t="s">
        <v>28</v>
      </c>
      <c r="I581" s="1856" t="s">
        <v>890</v>
      </c>
    </row>
    <row customHeight="1" ht="11.25">
      <c r="A582" s="1856" t="s">
        <v>2288</v>
      </c>
      <c r="B582" s="1856" t="s">
        <v>16</v>
      </c>
      <c r="C582" s="1856" t="s">
        <v>3237</v>
      </c>
      <c r="D582" s="1856" t="s">
        <v>3238</v>
      </c>
      <c r="E582" s="1856" t="s">
        <v>2547</v>
      </c>
      <c r="F582" s="1856" t="s">
        <v>3239</v>
      </c>
      <c r="G582" s="1856" t="s">
        <v>3240</v>
      </c>
      <c r="H582" s="1856" t="s">
        <v>28</v>
      </c>
      <c r="I582" s="1856" t="s">
        <v>890</v>
      </c>
    </row>
    <row customHeight="1" ht="11.25">
      <c r="A583" s="1856" t="s">
        <v>2288</v>
      </c>
      <c r="B583" s="1856" t="s">
        <v>16</v>
      </c>
      <c r="C583" s="1856" t="s">
        <v>3247</v>
      </c>
      <c r="D583" s="1856" t="s">
        <v>3248</v>
      </c>
      <c r="E583" s="1856" t="s">
        <v>3243</v>
      </c>
      <c r="F583" s="1856" t="s">
        <v>3249</v>
      </c>
      <c r="G583" s="1856" t="s">
        <v>28</v>
      </c>
      <c r="H583" s="1856" t="s">
        <v>28</v>
      </c>
      <c r="I583" s="1856" t="s">
        <v>890</v>
      </c>
    </row>
    <row customHeight="1" ht="11.25">
      <c r="A584" s="1856" t="s">
        <v>2288</v>
      </c>
      <c r="B584" s="1856" t="s">
        <v>16</v>
      </c>
      <c r="C584" s="1856" t="s">
        <v>3254</v>
      </c>
      <c r="D584" s="1856" t="s">
        <v>3255</v>
      </c>
      <c r="E584" s="1856" t="s">
        <v>3256</v>
      </c>
      <c r="F584" s="1856" t="s">
        <v>2300</v>
      </c>
      <c r="G584" s="1856" t="s">
        <v>3257</v>
      </c>
      <c r="H584" s="1856" t="s">
        <v>28</v>
      </c>
      <c r="I584" s="1856" t="s">
        <v>890</v>
      </c>
    </row>
    <row customHeight="1" ht="11.25">
      <c r="A585" s="1856" t="s">
        <v>2288</v>
      </c>
      <c r="B585" s="1856" t="s">
        <v>16</v>
      </c>
      <c r="C585" s="1856" t="s">
        <v>3440</v>
      </c>
      <c r="D585" s="1856" t="s">
        <v>3441</v>
      </c>
      <c r="E585" s="1856" t="s">
        <v>3442</v>
      </c>
      <c r="F585" s="1856" t="s">
        <v>3249</v>
      </c>
      <c r="G585" s="1856" t="s">
        <v>28</v>
      </c>
      <c r="H585" s="1856" t="s">
        <v>28</v>
      </c>
      <c r="I585" s="1856" t="s">
        <v>890</v>
      </c>
    </row>
    <row customHeight="1" ht="11.25">
      <c r="A586" s="1856" t="s">
        <v>2288</v>
      </c>
      <c r="B586" s="1856" t="s">
        <v>16</v>
      </c>
      <c r="C586" s="1856" t="s">
        <v>3443</v>
      </c>
      <c r="D586" s="1856" t="s">
        <v>3444</v>
      </c>
      <c r="E586" s="1856" t="s">
        <v>3442</v>
      </c>
      <c r="F586" s="1856" t="s">
        <v>3445</v>
      </c>
      <c r="G586" s="1856" t="s">
        <v>3446</v>
      </c>
      <c r="H586" s="1856" t="s">
        <v>28</v>
      </c>
      <c r="I586" s="1856" t="s">
        <v>890</v>
      </c>
    </row>
    <row customHeight="1" ht="11.25">
      <c r="A587" s="1856" t="s">
        <v>2288</v>
      </c>
      <c r="B587" s="1856" t="s">
        <v>16</v>
      </c>
      <c r="C587" s="1856" t="s">
        <v>2294</v>
      </c>
      <c r="D587" s="1856" t="s">
        <v>2295</v>
      </c>
      <c r="E587" s="1856" t="s">
        <v>2291</v>
      </c>
      <c r="F587" s="1856" t="s">
        <v>2296</v>
      </c>
      <c r="G587" s="1856" t="s">
        <v>2293</v>
      </c>
      <c r="H587" s="1856" t="s">
        <v>28</v>
      </c>
      <c r="I587" s="1856" t="s">
        <v>943</v>
      </c>
    </row>
    <row customHeight="1" ht="11.25">
      <c r="A588" s="1856" t="s">
        <v>2288</v>
      </c>
      <c r="B588" s="1856" t="s">
        <v>16</v>
      </c>
      <c r="C588" s="1856" t="s">
        <v>2297</v>
      </c>
      <c r="D588" s="1856" t="s">
        <v>2298</v>
      </c>
      <c r="E588" s="1856" t="s">
        <v>2299</v>
      </c>
      <c r="F588" s="1856" t="s">
        <v>2300</v>
      </c>
      <c r="G588" s="1856" t="s">
        <v>2301</v>
      </c>
      <c r="H588" s="1856" t="s">
        <v>28</v>
      </c>
      <c r="I588" s="1856" t="s">
        <v>943</v>
      </c>
    </row>
    <row customHeight="1" ht="11.25">
      <c r="A589" s="1856" t="s">
        <v>2288</v>
      </c>
      <c r="B589" s="1856" t="s">
        <v>16</v>
      </c>
      <c r="C589" s="1856" t="s">
        <v>2302</v>
      </c>
      <c r="D589" s="1856" t="s">
        <v>2303</v>
      </c>
      <c r="E589" s="1856" t="s">
        <v>2304</v>
      </c>
      <c r="F589" s="1856" t="s">
        <v>2305</v>
      </c>
      <c r="G589" s="1856" t="s">
        <v>28</v>
      </c>
      <c r="H589" s="1856" t="s">
        <v>28</v>
      </c>
      <c r="I589" s="1856" t="s">
        <v>943</v>
      </c>
    </row>
    <row customHeight="1" ht="11.25">
      <c r="A590" s="1856" t="s">
        <v>2288</v>
      </c>
      <c r="B590" s="1856" t="s">
        <v>16</v>
      </c>
      <c r="C590" s="1856" t="s">
        <v>2306</v>
      </c>
      <c r="D590" s="1856" t="s">
        <v>2303</v>
      </c>
      <c r="E590" s="1856" t="s">
        <v>2304</v>
      </c>
      <c r="F590" s="1856" t="s">
        <v>2307</v>
      </c>
      <c r="G590" s="1856" t="s">
        <v>28</v>
      </c>
      <c r="H590" s="1856" t="s">
        <v>28</v>
      </c>
      <c r="I590" s="1856" t="s">
        <v>943</v>
      </c>
    </row>
    <row customHeight="1" ht="11.25">
      <c r="A591" s="1856" t="s">
        <v>2288</v>
      </c>
      <c r="B591" s="1856" t="s">
        <v>16</v>
      </c>
      <c r="C591" s="1856" t="s">
        <v>2325</v>
      </c>
      <c r="D591" s="1856" t="s">
        <v>2326</v>
      </c>
      <c r="E591" s="1856" t="s">
        <v>2327</v>
      </c>
      <c r="F591" s="1856" t="s">
        <v>2328</v>
      </c>
      <c r="G591" s="1856" t="s">
        <v>2329</v>
      </c>
      <c r="H591" s="1856" t="s">
        <v>28</v>
      </c>
      <c r="I591" s="1856" t="s">
        <v>943</v>
      </c>
    </row>
    <row customHeight="1" ht="11.25">
      <c r="A592" s="1856" t="s">
        <v>2288</v>
      </c>
      <c r="B592" s="1856" t="s">
        <v>16</v>
      </c>
      <c r="C592" s="1856" t="s">
        <v>3274</v>
      </c>
      <c r="D592" s="1856" t="s">
        <v>3275</v>
      </c>
      <c r="E592" s="1856" t="s">
        <v>3276</v>
      </c>
      <c r="F592" s="1856" t="s">
        <v>2840</v>
      </c>
      <c r="G592" s="1856" t="s">
        <v>3277</v>
      </c>
      <c r="H592" s="1856" t="s">
        <v>28</v>
      </c>
      <c r="I592" s="1856" t="s">
        <v>943</v>
      </c>
    </row>
    <row customHeight="1" ht="11.25">
      <c r="A593" s="1856" t="s">
        <v>2288</v>
      </c>
      <c r="B593" s="1856" t="s">
        <v>16</v>
      </c>
      <c r="C593" s="1856" t="s">
        <v>2346</v>
      </c>
      <c r="D593" s="1856" t="s">
        <v>2347</v>
      </c>
      <c r="E593" s="1856" t="s">
        <v>2337</v>
      </c>
      <c r="F593" s="1856" t="s">
        <v>2348</v>
      </c>
      <c r="G593" s="1856" t="s">
        <v>2339</v>
      </c>
      <c r="H593" s="1856" t="s">
        <v>28</v>
      </c>
      <c r="I593" s="1856" t="s">
        <v>943</v>
      </c>
    </row>
    <row customHeight="1" ht="11.25">
      <c r="A594" s="1856" t="s">
        <v>2288</v>
      </c>
      <c r="B594" s="1856" t="s">
        <v>16</v>
      </c>
      <c r="C594" s="1856" t="s">
        <v>2361</v>
      </c>
      <c r="D594" s="1856" t="s">
        <v>2362</v>
      </c>
      <c r="E594" s="1856" t="s">
        <v>2363</v>
      </c>
      <c r="F594" s="1856" t="s">
        <v>2338</v>
      </c>
      <c r="G594" s="1856" t="s">
        <v>2364</v>
      </c>
      <c r="H594" s="1856" t="s">
        <v>28</v>
      </c>
      <c r="I594" s="1856" t="s">
        <v>943</v>
      </c>
    </row>
    <row customHeight="1" ht="11.25">
      <c r="A595" s="1856" t="s">
        <v>2288</v>
      </c>
      <c r="B595" s="1856" t="s">
        <v>16</v>
      </c>
      <c r="C595" s="1856" t="s">
        <v>2386</v>
      </c>
      <c r="D595" s="1856" t="s">
        <v>2387</v>
      </c>
      <c r="E595" s="1856" t="s">
        <v>2363</v>
      </c>
      <c r="F595" s="1856" t="s">
        <v>2354</v>
      </c>
      <c r="G595" s="1856" t="s">
        <v>2364</v>
      </c>
      <c r="H595" s="1856" t="s">
        <v>28</v>
      </c>
      <c r="I595" s="1856" t="s">
        <v>943</v>
      </c>
    </row>
    <row customHeight="1" ht="11.25">
      <c r="A596" s="1856" t="s">
        <v>2288</v>
      </c>
      <c r="B596" s="1856" t="s">
        <v>16</v>
      </c>
      <c r="C596" s="1856" t="s">
        <v>2397</v>
      </c>
      <c r="D596" s="1856" t="s">
        <v>2398</v>
      </c>
      <c r="E596" s="1856" t="s">
        <v>2399</v>
      </c>
      <c r="F596" s="1856" t="s">
        <v>2400</v>
      </c>
      <c r="G596" s="1856" t="s">
        <v>2401</v>
      </c>
      <c r="H596" s="1856" t="s">
        <v>28</v>
      </c>
      <c r="I596" s="1856" t="s">
        <v>943</v>
      </c>
    </row>
    <row customHeight="1" ht="11.25">
      <c r="A597" s="1856" t="s">
        <v>2288</v>
      </c>
      <c r="B597" s="1856" t="s">
        <v>16</v>
      </c>
      <c r="C597" s="1856" t="s">
        <v>13</v>
      </c>
      <c r="D597" s="1856" t="s">
        <v>48</v>
      </c>
      <c r="E597" s="1856" t="s">
        <v>51</v>
      </c>
      <c r="F597" s="1856" t="s">
        <v>53</v>
      </c>
      <c r="G597" s="1856" t="s">
        <v>2315</v>
      </c>
      <c r="H597" s="1856" t="s">
        <v>28</v>
      </c>
      <c r="I597" s="1856" t="s">
        <v>943</v>
      </c>
    </row>
    <row customHeight="1" ht="11.25">
      <c r="A598" s="1856" t="s">
        <v>2288</v>
      </c>
      <c r="B598" s="1856" t="s">
        <v>16</v>
      </c>
      <c r="C598" s="1856" t="s">
        <v>2406</v>
      </c>
      <c r="D598" s="1856" t="s">
        <v>2407</v>
      </c>
      <c r="E598" s="1856" t="s">
        <v>2408</v>
      </c>
      <c r="F598" s="1856" t="s">
        <v>2409</v>
      </c>
      <c r="G598" s="1856" t="s">
        <v>2410</v>
      </c>
      <c r="H598" s="1856" t="s">
        <v>28</v>
      </c>
      <c r="I598" s="1856" t="s">
        <v>943</v>
      </c>
    </row>
    <row customHeight="1" ht="11.25">
      <c r="A599" s="1856" t="s">
        <v>2288</v>
      </c>
      <c r="B599" s="1856" t="s">
        <v>16</v>
      </c>
      <c r="C599" s="1856" t="s">
        <v>2419</v>
      </c>
      <c r="D599" s="1856" t="s">
        <v>2420</v>
      </c>
      <c r="E599" s="1856" t="s">
        <v>2421</v>
      </c>
      <c r="F599" s="1856" t="s">
        <v>2400</v>
      </c>
      <c r="G599" s="1856" t="s">
        <v>2422</v>
      </c>
      <c r="H599" s="1856" t="s">
        <v>28</v>
      </c>
      <c r="I599" s="1856" t="s">
        <v>943</v>
      </c>
    </row>
    <row customHeight="1" ht="11.25">
      <c r="A600" s="1856" t="s">
        <v>2288</v>
      </c>
      <c r="B600" s="1856" t="s">
        <v>16</v>
      </c>
      <c r="C600" s="1856" t="s">
        <v>2423</v>
      </c>
      <c r="D600" s="1856" t="s">
        <v>2424</v>
      </c>
      <c r="E600" s="1856" t="s">
        <v>2425</v>
      </c>
      <c r="F600" s="1856" t="s">
        <v>2426</v>
      </c>
      <c r="G600" s="1856" t="s">
        <v>2427</v>
      </c>
      <c r="H600" s="1856" t="s">
        <v>28</v>
      </c>
      <c r="I600" s="1856" t="s">
        <v>943</v>
      </c>
    </row>
    <row customHeight="1" ht="11.25">
      <c r="A601" s="1856" t="s">
        <v>2288</v>
      </c>
      <c r="B601" s="1856" t="s">
        <v>16</v>
      </c>
      <c r="C601" s="1856" t="s">
        <v>2433</v>
      </c>
      <c r="D601" s="1856" t="s">
        <v>2434</v>
      </c>
      <c r="E601" s="1856" t="s">
        <v>2425</v>
      </c>
      <c r="F601" s="1856" t="s">
        <v>2435</v>
      </c>
      <c r="G601" s="1856" t="s">
        <v>2436</v>
      </c>
      <c r="H601" s="1856" t="s">
        <v>28</v>
      </c>
      <c r="I601" s="1856" t="s">
        <v>943</v>
      </c>
    </row>
    <row customHeight="1" ht="11.25">
      <c r="A602" s="1856" t="s">
        <v>2288</v>
      </c>
      <c r="B602" s="1856" t="s">
        <v>16</v>
      </c>
      <c r="C602" s="1856" t="s">
        <v>28</v>
      </c>
      <c r="D602" s="1856" t="s">
        <v>2453</v>
      </c>
      <c r="E602" s="1856" t="s">
        <v>2454</v>
      </c>
      <c r="F602" s="1856" t="s">
        <v>2300</v>
      </c>
      <c r="G602" s="1856" t="s">
        <v>28</v>
      </c>
      <c r="H602" s="1856" t="s">
        <v>28</v>
      </c>
      <c r="I602" s="1856" t="s">
        <v>943</v>
      </c>
    </row>
    <row customHeight="1" ht="11.25">
      <c r="A603" s="1856" t="s">
        <v>2288</v>
      </c>
      <c r="B603" s="1856" t="s">
        <v>16</v>
      </c>
      <c r="C603" s="1856" t="s">
        <v>2455</v>
      </c>
      <c r="D603" s="1856" t="s">
        <v>2456</v>
      </c>
      <c r="E603" s="1856" t="s">
        <v>2457</v>
      </c>
      <c r="F603" s="1856" t="s">
        <v>2300</v>
      </c>
      <c r="G603" s="1856" t="s">
        <v>2458</v>
      </c>
      <c r="H603" s="1856" t="s">
        <v>28</v>
      </c>
      <c r="I603" s="1856" t="s">
        <v>943</v>
      </c>
    </row>
    <row customHeight="1" ht="11.25">
      <c r="A604" s="1856" t="s">
        <v>2288</v>
      </c>
      <c r="B604" s="1856" t="s">
        <v>16</v>
      </c>
      <c r="C604" s="1856" t="s">
        <v>2459</v>
      </c>
      <c r="D604" s="1856" t="s">
        <v>2460</v>
      </c>
      <c r="E604" s="1856" t="s">
        <v>2457</v>
      </c>
      <c r="F604" s="1856" t="s">
        <v>2338</v>
      </c>
      <c r="G604" s="1856" t="s">
        <v>2458</v>
      </c>
      <c r="H604" s="1856" t="s">
        <v>28</v>
      </c>
      <c r="I604" s="1856" t="s">
        <v>943</v>
      </c>
    </row>
    <row customHeight="1" ht="11.25">
      <c r="A605" s="1856" t="s">
        <v>2288</v>
      </c>
      <c r="B605" s="1856" t="s">
        <v>16</v>
      </c>
      <c r="C605" s="1856" t="s">
        <v>2461</v>
      </c>
      <c r="D605" s="1856" t="s">
        <v>2462</v>
      </c>
      <c r="E605" s="1856" t="s">
        <v>2457</v>
      </c>
      <c r="F605" s="1856" t="s">
        <v>2385</v>
      </c>
      <c r="G605" s="1856" t="s">
        <v>2458</v>
      </c>
      <c r="H605" s="1856" t="s">
        <v>28</v>
      </c>
      <c r="I605" s="1856" t="s">
        <v>943</v>
      </c>
    </row>
    <row customHeight="1" ht="11.25">
      <c r="A606" s="1856" t="s">
        <v>2288</v>
      </c>
      <c r="B606" s="1856" t="s">
        <v>16</v>
      </c>
      <c r="C606" s="1856" t="s">
        <v>2469</v>
      </c>
      <c r="D606" s="1856" t="s">
        <v>2470</v>
      </c>
      <c r="E606" s="1856" t="s">
        <v>2457</v>
      </c>
      <c r="F606" s="1856" t="s">
        <v>2471</v>
      </c>
      <c r="G606" s="1856" t="s">
        <v>2458</v>
      </c>
      <c r="H606" s="1856" t="s">
        <v>28</v>
      </c>
      <c r="I606" s="1856" t="s">
        <v>943</v>
      </c>
    </row>
    <row customHeight="1" ht="11.25">
      <c r="A607" s="1856" t="s">
        <v>2288</v>
      </c>
      <c r="B607" s="1856" t="s">
        <v>16</v>
      </c>
      <c r="C607" s="1856" t="s">
        <v>2475</v>
      </c>
      <c r="D607" s="1856" t="s">
        <v>2476</v>
      </c>
      <c r="E607" s="1856" t="s">
        <v>2457</v>
      </c>
      <c r="F607" s="1856" t="s">
        <v>2477</v>
      </c>
      <c r="G607" s="1856" t="s">
        <v>2458</v>
      </c>
      <c r="H607" s="1856" t="s">
        <v>28</v>
      </c>
      <c r="I607" s="1856" t="s">
        <v>943</v>
      </c>
    </row>
    <row customHeight="1" ht="11.25">
      <c r="A608" s="1856" t="s">
        <v>2288</v>
      </c>
      <c r="B608" s="1856" t="s">
        <v>16</v>
      </c>
      <c r="C608" s="1856" t="s">
        <v>2498</v>
      </c>
      <c r="D608" s="1856" t="s">
        <v>2499</v>
      </c>
      <c r="E608" s="1856" t="s">
        <v>2457</v>
      </c>
      <c r="F608" s="1856" t="s">
        <v>2373</v>
      </c>
      <c r="G608" s="1856" t="s">
        <v>2458</v>
      </c>
      <c r="H608" s="1856" t="s">
        <v>28</v>
      </c>
      <c r="I608" s="1856" t="s">
        <v>943</v>
      </c>
    </row>
    <row customHeight="1" ht="11.25">
      <c r="A609" s="1856" t="s">
        <v>2288</v>
      </c>
      <c r="B609" s="1856" t="s">
        <v>16</v>
      </c>
      <c r="C609" s="1856" t="s">
        <v>2508</v>
      </c>
      <c r="D609" s="1856" t="s">
        <v>2509</v>
      </c>
      <c r="E609" s="1856" t="s">
        <v>2457</v>
      </c>
      <c r="F609" s="1856" t="s">
        <v>2382</v>
      </c>
      <c r="G609" s="1856" t="s">
        <v>2458</v>
      </c>
      <c r="H609" s="1856" t="s">
        <v>28</v>
      </c>
      <c r="I609" s="1856" t="s">
        <v>943</v>
      </c>
    </row>
    <row customHeight="1" ht="11.25">
      <c r="A610" s="1856" t="s">
        <v>2288</v>
      </c>
      <c r="B610" s="1856" t="s">
        <v>16</v>
      </c>
      <c r="C610" s="1856" t="s">
        <v>2516</v>
      </c>
      <c r="D610" s="1856" t="s">
        <v>2517</v>
      </c>
      <c r="E610" s="1856" t="s">
        <v>2457</v>
      </c>
      <c r="F610" s="1856" t="s">
        <v>2518</v>
      </c>
      <c r="G610" s="1856" t="s">
        <v>2458</v>
      </c>
      <c r="H610" s="1856" t="s">
        <v>28</v>
      </c>
      <c r="I610" s="1856" t="s">
        <v>943</v>
      </c>
    </row>
    <row customHeight="1" ht="11.25">
      <c r="A611" s="1856" t="s">
        <v>2288</v>
      </c>
      <c r="B611" s="1856" t="s">
        <v>16</v>
      </c>
      <c r="C611" s="1856" t="s">
        <v>2522</v>
      </c>
      <c r="D611" s="1856" t="s">
        <v>2523</v>
      </c>
      <c r="E611" s="1856" t="s">
        <v>2457</v>
      </c>
      <c r="F611" s="1856" t="s">
        <v>2524</v>
      </c>
      <c r="G611" s="1856" t="s">
        <v>2458</v>
      </c>
      <c r="H611" s="1856" t="s">
        <v>28</v>
      </c>
      <c r="I611" s="1856" t="s">
        <v>943</v>
      </c>
    </row>
    <row customHeight="1" ht="11.25">
      <c r="A612" s="1856" t="s">
        <v>2288</v>
      </c>
      <c r="B612" s="1856" t="s">
        <v>16</v>
      </c>
      <c r="C612" s="1856" t="s">
        <v>2531</v>
      </c>
      <c r="D612" s="1856" t="s">
        <v>2532</v>
      </c>
      <c r="E612" s="1856" t="s">
        <v>2457</v>
      </c>
      <c r="F612" s="1856" t="s">
        <v>2533</v>
      </c>
      <c r="G612" s="1856" t="s">
        <v>2458</v>
      </c>
      <c r="H612" s="1856" t="s">
        <v>28</v>
      </c>
      <c r="I612" s="1856" t="s">
        <v>943</v>
      </c>
    </row>
    <row customHeight="1" ht="11.25">
      <c r="A613" s="1856" t="s">
        <v>2288</v>
      </c>
      <c r="B613" s="1856" t="s">
        <v>16</v>
      </c>
      <c r="C613" s="1856" t="s">
        <v>2545</v>
      </c>
      <c r="D613" s="1856" t="s">
        <v>2546</v>
      </c>
      <c r="E613" s="1856" t="s">
        <v>2547</v>
      </c>
      <c r="F613" s="1856" t="s">
        <v>2548</v>
      </c>
      <c r="G613" s="1856" t="s">
        <v>28</v>
      </c>
      <c r="H613" s="1856" t="s">
        <v>28</v>
      </c>
      <c r="I613" s="1856" t="s">
        <v>943</v>
      </c>
    </row>
    <row customHeight="1" ht="11.25">
      <c r="A614" s="1856" t="s">
        <v>2288</v>
      </c>
      <c r="B614" s="1856" t="s">
        <v>16</v>
      </c>
      <c r="C614" s="1856" t="s">
        <v>3447</v>
      </c>
      <c r="D614" s="1856" t="s">
        <v>3448</v>
      </c>
      <c r="E614" s="1856" t="s">
        <v>3449</v>
      </c>
      <c r="F614" s="1856" t="s">
        <v>612</v>
      </c>
      <c r="G614" s="1856" t="s">
        <v>3450</v>
      </c>
      <c r="H614" s="1856" t="s">
        <v>28</v>
      </c>
      <c r="I614" s="1856" t="s">
        <v>943</v>
      </c>
    </row>
    <row customHeight="1" ht="11.25">
      <c r="A615" s="1856" t="s">
        <v>2288</v>
      </c>
      <c r="B615" s="1856" t="s">
        <v>16</v>
      </c>
      <c r="C615" s="1856" t="s">
        <v>3451</v>
      </c>
      <c r="D615" s="1856" t="s">
        <v>3452</v>
      </c>
      <c r="E615" s="1856" t="s">
        <v>3453</v>
      </c>
      <c r="F615" s="1856" t="s">
        <v>612</v>
      </c>
      <c r="G615" s="1856" t="s">
        <v>3454</v>
      </c>
      <c r="H615" s="1856" t="s">
        <v>28</v>
      </c>
      <c r="I615" s="1856" t="s">
        <v>943</v>
      </c>
    </row>
    <row customHeight="1" ht="11.25">
      <c r="A616" s="1856" t="s">
        <v>2288</v>
      </c>
      <c r="B616" s="1856" t="s">
        <v>16</v>
      </c>
      <c r="C616" s="1856" t="s">
        <v>3285</v>
      </c>
      <c r="D616" s="1856" t="s">
        <v>3286</v>
      </c>
      <c r="E616" s="1856" t="s">
        <v>3287</v>
      </c>
      <c r="F616" s="1856" t="s">
        <v>612</v>
      </c>
      <c r="G616" s="1856" t="s">
        <v>3133</v>
      </c>
      <c r="H616" s="1856" t="s">
        <v>28</v>
      </c>
      <c r="I616" s="1856" t="s">
        <v>943</v>
      </c>
    </row>
    <row customHeight="1" ht="11.25">
      <c r="A617" s="1856" t="s">
        <v>2288</v>
      </c>
      <c r="B617" s="1856" t="s">
        <v>16</v>
      </c>
      <c r="C617" s="1856" t="s">
        <v>3455</v>
      </c>
      <c r="D617" s="1856" t="s">
        <v>3456</v>
      </c>
      <c r="E617" s="1856" t="s">
        <v>3457</v>
      </c>
      <c r="F617" s="1856" t="s">
        <v>612</v>
      </c>
      <c r="G617" s="1856" t="s">
        <v>2949</v>
      </c>
      <c r="H617" s="1856" t="s">
        <v>28</v>
      </c>
      <c r="I617" s="1856" t="s">
        <v>943</v>
      </c>
    </row>
    <row customHeight="1" ht="11.25">
      <c r="A618" s="1856" t="s">
        <v>2288</v>
      </c>
      <c r="B618" s="1856" t="s">
        <v>16</v>
      </c>
      <c r="C618" s="1856" t="s">
        <v>3458</v>
      </c>
      <c r="D618" s="1856" t="s">
        <v>3459</v>
      </c>
      <c r="E618" s="1856" t="s">
        <v>3460</v>
      </c>
      <c r="F618" s="1856" t="s">
        <v>612</v>
      </c>
      <c r="G618" s="1856" t="s">
        <v>3461</v>
      </c>
      <c r="H618" s="1856" t="s">
        <v>28</v>
      </c>
      <c r="I618" s="1856" t="s">
        <v>943</v>
      </c>
    </row>
    <row customHeight="1" ht="11.25">
      <c r="A619" s="1856" t="s">
        <v>2288</v>
      </c>
      <c r="B619" s="1856" t="s">
        <v>16</v>
      </c>
      <c r="C619" s="1856" t="s">
        <v>3462</v>
      </c>
      <c r="D619" s="1856" t="s">
        <v>3463</v>
      </c>
      <c r="E619" s="1856" t="s">
        <v>3464</v>
      </c>
      <c r="F619" s="1856" t="s">
        <v>612</v>
      </c>
      <c r="G619" s="1856" t="s">
        <v>3465</v>
      </c>
      <c r="H619" s="1856" t="s">
        <v>28</v>
      </c>
      <c r="I619" s="1856" t="s">
        <v>943</v>
      </c>
    </row>
    <row customHeight="1" ht="11.25">
      <c r="A620" s="1856" t="s">
        <v>2288</v>
      </c>
      <c r="B620" s="1856" t="s">
        <v>16</v>
      </c>
      <c r="C620" s="1856" t="s">
        <v>3466</v>
      </c>
      <c r="D620" s="1856" t="s">
        <v>3467</v>
      </c>
      <c r="E620" s="1856" t="s">
        <v>3468</v>
      </c>
      <c r="F620" s="1856" t="s">
        <v>612</v>
      </c>
      <c r="G620" s="1856" t="s">
        <v>2937</v>
      </c>
      <c r="H620" s="1856" t="s">
        <v>28</v>
      </c>
      <c r="I620" s="1856" t="s">
        <v>943</v>
      </c>
    </row>
    <row customHeight="1" ht="11.25">
      <c r="A621" s="1856" t="s">
        <v>2288</v>
      </c>
      <c r="B621" s="1856" t="s">
        <v>16</v>
      </c>
      <c r="C621" s="1856" t="s">
        <v>3469</v>
      </c>
      <c r="D621" s="1856" t="s">
        <v>3470</v>
      </c>
      <c r="E621" s="1856" t="s">
        <v>3471</v>
      </c>
      <c r="F621" s="1856" t="s">
        <v>612</v>
      </c>
      <c r="G621" s="1856" t="s">
        <v>3472</v>
      </c>
      <c r="H621" s="1856" t="s">
        <v>28</v>
      </c>
      <c r="I621" s="1856" t="s">
        <v>943</v>
      </c>
    </row>
    <row customHeight="1" ht="11.25">
      <c r="A622" s="1856" t="s">
        <v>2288</v>
      </c>
      <c r="B622" s="1856" t="s">
        <v>16</v>
      </c>
      <c r="C622" s="1856" t="s">
        <v>3288</v>
      </c>
      <c r="D622" s="1856" t="s">
        <v>3289</v>
      </c>
      <c r="E622" s="1856" t="s">
        <v>3290</v>
      </c>
      <c r="F622" s="1856" t="s">
        <v>612</v>
      </c>
      <c r="G622" s="1856" t="s">
        <v>3291</v>
      </c>
      <c r="H622" s="1856" t="s">
        <v>28</v>
      </c>
      <c r="I622" s="1856" t="s">
        <v>943</v>
      </c>
    </row>
    <row customHeight="1" ht="11.25">
      <c r="A623" s="1856" t="s">
        <v>2288</v>
      </c>
      <c r="B623" s="1856" t="s">
        <v>16</v>
      </c>
      <c r="C623" s="1856" t="s">
        <v>3473</v>
      </c>
      <c r="D623" s="1856" t="s">
        <v>3474</v>
      </c>
      <c r="E623" s="1856" t="s">
        <v>3475</v>
      </c>
      <c r="F623" s="1856" t="s">
        <v>612</v>
      </c>
      <c r="G623" s="1856" t="s">
        <v>3476</v>
      </c>
      <c r="H623" s="1856" t="s">
        <v>28</v>
      </c>
      <c r="I623" s="1856" t="s">
        <v>943</v>
      </c>
    </row>
    <row customHeight="1" ht="11.25">
      <c r="A624" s="1856" t="s">
        <v>2288</v>
      </c>
      <c r="B624" s="1856" t="s">
        <v>16</v>
      </c>
      <c r="C624" s="1856" t="s">
        <v>3477</v>
      </c>
      <c r="D624" s="1856" t="s">
        <v>3478</v>
      </c>
      <c r="E624" s="1856" t="s">
        <v>3479</v>
      </c>
      <c r="F624" s="1856" t="s">
        <v>612</v>
      </c>
      <c r="G624" s="1856" t="s">
        <v>3480</v>
      </c>
      <c r="H624" s="1856" t="s">
        <v>28</v>
      </c>
      <c r="I624" s="1856" t="s">
        <v>943</v>
      </c>
    </row>
    <row customHeight="1" ht="11.25">
      <c r="A625" s="1856" t="s">
        <v>2288</v>
      </c>
      <c r="B625" s="1856" t="s">
        <v>16</v>
      </c>
      <c r="C625" s="1856" t="s">
        <v>3481</v>
      </c>
      <c r="D625" s="1856" t="s">
        <v>3482</v>
      </c>
      <c r="E625" s="1856" t="s">
        <v>3483</v>
      </c>
      <c r="F625" s="1856" t="s">
        <v>612</v>
      </c>
      <c r="G625" s="1856" t="s">
        <v>2432</v>
      </c>
      <c r="H625" s="1856" t="s">
        <v>28</v>
      </c>
      <c r="I625" s="1856" t="s">
        <v>943</v>
      </c>
    </row>
    <row customHeight="1" ht="11.25">
      <c r="A626" s="1856" t="s">
        <v>2288</v>
      </c>
      <c r="B626" s="1856" t="s">
        <v>16</v>
      </c>
      <c r="C626" s="1856" t="s">
        <v>3484</v>
      </c>
      <c r="D626" s="1856" t="s">
        <v>3485</v>
      </c>
      <c r="E626" s="1856" t="s">
        <v>3486</v>
      </c>
      <c r="F626" s="1856" t="s">
        <v>612</v>
      </c>
      <c r="G626" s="1856" t="s">
        <v>2591</v>
      </c>
      <c r="H626" s="1856" t="s">
        <v>28</v>
      </c>
      <c r="I626" s="1856" t="s">
        <v>943</v>
      </c>
    </row>
    <row customHeight="1" ht="11.25">
      <c r="A627" s="1856" t="s">
        <v>2288</v>
      </c>
      <c r="B627" s="1856" t="s">
        <v>16</v>
      </c>
      <c r="C627" s="1856" t="s">
        <v>3299</v>
      </c>
      <c r="D627" s="1856" t="s">
        <v>3300</v>
      </c>
      <c r="E627" s="1856" t="s">
        <v>3301</v>
      </c>
      <c r="F627" s="1856" t="s">
        <v>612</v>
      </c>
      <c r="G627" s="1856" t="s">
        <v>3302</v>
      </c>
      <c r="H627" s="1856" t="s">
        <v>28</v>
      </c>
      <c r="I627" s="1856" t="s">
        <v>943</v>
      </c>
    </row>
    <row customHeight="1" ht="11.25">
      <c r="A628" s="1856" t="s">
        <v>2288</v>
      </c>
      <c r="B628" s="1856" t="s">
        <v>16</v>
      </c>
      <c r="C628" s="1856" t="s">
        <v>2644</v>
      </c>
      <c r="D628" s="1856" t="s">
        <v>2645</v>
      </c>
      <c r="E628" s="1856" t="s">
        <v>2425</v>
      </c>
      <c r="F628" s="1856" t="s">
        <v>2646</v>
      </c>
      <c r="G628" s="1856" t="s">
        <v>2647</v>
      </c>
      <c r="H628" s="1856" t="s">
        <v>28</v>
      </c>
      <c r="I628" s="1856" t="s">
        <v>943</v>
      </c>
    </row>
    <row customHeight="1" ht="11.25">
      <c r="A629" s="1856" t="s">
        <v>2288</v>
      </c>
      <c r="B629" s="1856" t="s">
        <v>16</v>
      </c>
      <c r="C629" s="1856" t="s">
        <v>3487</v>
      </c>
      <c r="D629" s="1856" t="s">
        <v>3488</v>
      </c>
      <c r="E629" s="1856" t="s">
        <v>3489</v>
      </c>
      <c r="F629" s="1856" t="s">
        <v>3306</v>
      </c>
      <c r="G629" s="1856" t="s">
        <v>3490</v>
      </c>
      <c r="H629" s="1856" t="s">
        <v>28</v>
      </c>
      <c r="I629" s="1856" t="s">
        <v>943</v>
      </c>
    </row>
    <row customHeight="1" ht="11.25">
      <c r="A630" s="1856" t="s">
        <v>2288</v>
      </c>
      <c r="B630" s="1856" t="s">
        <v>16</v>
      </c>
      <c r="C630" s="1856" t="s">
        <v>3491</v>
      </c>
      <c r="D630" s="1856" t="s">
        <v>3492</v>
      </c>
      <c r="E630" s="1856" t="s">
        <v>3493</v>
      </c>
      <c r="F630" s="1856" t="s">
        <v>2746</v>
      </c>
      <c r="G630" s="1856" t="s">
        <v>3494</v>
      </c>
      <c r="H630" s="1856" t="s">
        <v>28</v>
      </c>
      <c r="I630" s="1856" t="s">
        <v>943</v>
      </c>
    </row>
    <row customHeight="1" ht="11.25">
      <c r="A631" s="1856" t="s">
        <v>2288</v>
      </c>
      <c r="B631" s="1856" t="s">
        <v>16</v>
      </c>
      <c r="C631" s="1856" t="s">
        <v>2658</v>
      </c>
      <c r="D631" s="1856" t="s">
        <v>2659</v>
      </c>
      <c r="E631" s="1856" t="s">
        <v>2660</v>
      </c>
      <c r="F631" s="1856" t="s">
        <v>2333</v>
      </c>
      <c r="G631" s="1856" t="s">
        <v>2661</v>
      </c>
      <c r="H631" s="1856" t="s">
        <v>28</v>
      </c>
      <c r="I631" s="1856" t="s">
        <v>943</v>
      </c>
    </row>
    <row customHeight="1" ht="11.25">
      <c r="A632" s="1856" t="s">
        <v>2288</v>
      </c>
      <c r="B632" s="1856" t="s">
        <v>16</v>
      </c>
      <c r="C632" s="1856" t="s">
        <v>2662</v>
      </c>
      <c r="D632" s="1856" t="s">
        <v>2663</v>
      </c>
      <c r="E632" s="1856" t="s">
        <v>2664</v>
      </c>
      <c r="F632" s="1856" t="s">
        <v>2665</v>
      </c>
      <c r="G632" s="1856" t="s">
        <v>2666</v>
      </c>
      <c r="H632" s="1856" t="s">
        <v>28</v>
      </c>
      <c r="I632" s="1856" t="s">
        <v>943</v>
      </c>
    </row>
    <row customHeight="1" ht="11.25">
      <c r="A633" s="1856" t="s">
        <v>2288</v>
      </c>
      <c r="B633" s="1856" t="s">
        <v>16</v>
      </c>
      <c r="C633" s="1856" t="s">
        <v>2667</v>
      </c>
      <c r="D633" s="1856" t="s">
        <v>2668</v>
      </c>
      <c r="E633" s="1856" t="s">
        <v>2669</v>
      </c>
      <c r="F633" s="1856" t="s">
        <v>2300</v>
      </c>
      <c r="G633" s="1856" t="s">
        <v>2670</v>
      </c>
      <c r="H633" s="1856" t="s">
        <v>28</v>
      </c>
      <c r="I633" s="1856" t="s">
        <v>943</v>
      </c>
    </row>
    <row customHeight="1" ht="11.25">
      <c r="A634" s="1856" t="s">
        <v>2288</v>
      </c>
      <c r="B634" s="1856" t="s">
        <v>16</v>
      </c>
      <c r="C634" s="1856" t="s">
        <v>2671</v>
      </c>
      <c r="D634" s="1856" t="s">
        <v>2672</v>
      </c>
      <c r="E634" s="1856" t="s">
        <v>2673</v>
      </c>
      <c r="F634" s="1856" t="s">
        <v>2674</v>
      </c>
      <c r="G634" s="1856" t="s">
        <v>2675</v>
      </c>
      <c r="H634" s="1856" t="s">
        <v>28</v>
      </c>
      <c r="I634" s="1856" t="s">
        <v>943</v>
      </c>
    </row>
    <row customHeight="1" ht="11.25">
      <c r="A635" s="1856" t="s">
        <v>2288</v>
      </c>
      <c r="B635" s="1856" t="s">
        <v>16</v>
      </c>
      <c r="C635" s="1856" t="s">
        <v>3303</v>
      </c>
      <c r="D635" s="1856" t="s">
        <v>3304</v>
      </c>
      <c r="E635" s="1856" t="s">
        <v>3305</v>
      </c>
      <c r="F635" s="1856" t="s">
        <v>3306</v>
      </c>
      <c r="G635" s="1856" t="s">
        <v>2995</v>
      </c>
      <c r="H635" s="1856" t="s">
        <v>28</v>
      </c>
      <c r="I635" s="1856" t="s">
        <v>943</v>
      </c>
    </row>
    <row customHeight="1" ht="11.25">
      <c r="A636" s="1856" t="s">
        <v>2288</v>
      </c>
      <c r="B636" s="1856" t="s">
        <v>16</v>
      </c>
      <c r="C636" s="1856" t="s">
        <v>2676</v>
      </c>
      <c r="D636" s="1856" t="s">
        <v>2677</v>
      </c>
      <c r="E636" s="1856" t="s">
        <v>2678</v>
      </c>
      <c r="F636" s="1856" t="s">
        <v>2300</v>
      </c>
      <c r="G636" s="1856" t="s">
        <v>2679</v>
      </c>
      <c r="H636" s="1856" t="s">
        <v>28</v>
      </c>
      <c r="I636" s="1856" t="s">
        <v>943</v>
      </c>
    </row>
    <row customHeight="1" ht="11.25">
      <c r="A637" s="1856" t="s">
        <v>2288</v>
      </c>
      <c r="B637" s="1856" t="s">
        <v>16</v>
      </c>
      <c r="C637" s="1856" t="s">
        <v>2684</v>
      </c>
      <c r="D637" s="1856" t="s">
        <v>2685</v>
      </c>
      <c r="E637" s="1856" t="s">
        <v>2686</v>
      </c>
      <c r="F637" s="1856" t="s">
        <v>2687</v>
      </c>
      <c r="G637" s="1856" t="s">
        <v>2688</v>
      </c>
      <c r="H637" s="1856" t="s">
        <v>28</v>
      </c>
      <c r="I637" s="1856" t="s">
        <v>943</v>
      </c>
    </row>
    <row customHeight="1" ht="11.25">
      <c r="A638" s="1856" t="s">
        <v>2288</v>
      </c>
      <c r="B638" s="1856" t="s">
        <v>16</v>
      </c>
      <c r="C638" s="1856" t="s">
        <v>3495</v>
      </c>
      <c r="D638" s="1856" t="s">
        <v>3496</v>
      </c>
      <c r="E638" s="1856" t="s">
        <v>3497</v>
      </c>
      <c r="F638" s="1856" t="s">
        <v>3498</v>
      </c>
      <c r="G638" s="1856" t="s">
        <v>3499</v>
      </c>
      <c r="H638" s="1856" t="s">
        <v>28</v>
      </c>
      <c r="I638" s="1856" t="s">
        <v>943</v>
      </c>
    </row>
    <row customHeight="1" ht="11.25">
      <c r="A639" s="1856" t="s">
        <v>2288</v>
      </c>
      <c r="B639" s="1856" t="s">
        <v>16</v>
      </c>
      <c r="C639" s="1856" t="s">
        <v>2694</v>
      </c>
      <c r="D639" s="1856" t="s">
        <v>2695</v>
      </c>
      <c r="E639" s="1856" t="s">
        <v>2696</v>
      </c>
      <c r="F639" s="1856" t="s">
        <v>2300</v>
      </c>
      <c r="G639" s="1856" t="s">
        <v>2697</v>
      </c>
      <c r="H639" s="1856" t="s">
        <v>28</v>
      </c>
      <c r="I639" s="1856" t="s">
        <v>943</v>
      </c>
    </row>
    <row customHeight="1" ht="11.25">
      <c r="A640" s="1856" t="s">
        <v>2288</v>
      </c>
      <c r="B640" s="1856" t="s">
        <v>16</v>
      </c>
      <c r="C640" s="1856" t="s">
        <v>3500</v>
      </c>
      <c r="D640" s="1856" t="s">
        <v>3501</v>
      </c>
      <c r="E640" s="1856" t="s">
        <v>3502</v>
      </c>
      <c r="F640" s="1856" t="s">
        <v>3121</v>
      </c>
      <c r="G640" s="1856" t="s">
        <v>3503</v>
      </c>
      <c r="H640" s="1856" t="s">
        <v>28</v>
      </c>
      <c r="I640" s="1856" t="s">
        <v>943</v>
      </c>
    </row>
    <row customHeight="1" ht="11.25">
      <c r="A641" s="1856" t="s">
        <v>2288</v>
      </c>
      <c r="B641" s="1856" t="s">
        <v>16</v>
      </c>
      <c r="C641" s="1856" t="s">
        <v>3504</v>
      </c>
      <c r="D641" s="1856" t="s">
        <v>3505</v>
      </c>
      <c r="E641" s="1856" t="s">
        <v>3506</v>
      </c>
      <c r="F641" s="1856" t="s">
        <v>2692</v>
      </c>
      <c r="G641" s="1856" t="s">
        <v>3507</v>
      </c>
      <c r="H641" s="1856" t="s">
        <v>28</v>
      </c>
      <c r="I641" s="1856" t="s">
        <v>943</v>
      </c>
    </row>
    <row customHeight="1" ht="11.25">
      <c r="A642" s="1856" t="s">
        <v>2288</v>
      </c>
      <c r="B642" s="1856" t="s">
        <v>16</v>
      </c>
      <c r="C642" s="1856" t="s">
        <v>3508</v>
      </c>
      <c r="D642" s="1856" t="s">
        <v>3509</v>
      </c>
      <c r="E642" s="1856" t="s">
        <v>3510</v>
      </c>
      <c r="F642" s="1856" t="s">
        <v>2300</v>
      </c>
      <c r="G642" s="1856" t="s">
        <v>2937</v>
      </c>
      <c r="H642" s="1856" t="s">
        <v>28</v>
      </c>
      <c r="I642" s="1856" t="s">
        <v>943</v>
      </c>
    </row>
    <row customHeight="1" ht="11.25">
      <c r="A643" s="1856" t="s">
        <v>2288</v>
      </c>
      <c r="B643" s="1856" t="s">
        <v>16</v>
      </c>
      <c r="C643" s="1856" t="s">
        <v>3511</v>
      </c>
      <c r="D643" s="1856" t="s">
        <v>3512</v>
      </c>
      <c r="E643" s="1856" t="s">
        <v>3513</v>
      </c>
      <c r="F643" s="1856" t="s">
        <v>3514</v>
      </c>
      <c r="G643" s="1856" t="s">
        <v>3515</v>
      </c>
      <c r="H643" s="1856" t="s">
        <v>28</v>
      </c>
      <c r="I643" s="1856" t="s">
        <v>943</v>
      </c>
    </row>
    <row customHeight="1" ht="11.25">
      <c r="A644" s="1856" t="s">
        <v>2288</v>
      </c>
      <c r="B644" s="1856" t="s">
        <v>16</v>
      </c>
      <c r="C644" s="1856" t="s">
        <v>3307</v>
      </c>
      <c r="D644" s="1856" t="s">
        <v>3308</v>
      </c>
      <c r="E644" s="1856" t="s">
        <v>3309</v>
      </c>
      <c r="F644" s="1856" t="s">
        <v>3108</v>
      </c>
      <c r="G644" s="1856" t="s">
        <v>3310</v>
      </c>
      <c r="H644" s="1856" t="s">
        <v>28</v>
      </c>
      <c r="I644" s="1856" t="s">
        <v>943</v>
      </c>
    </row>
    <row customHeight="1" ht="11.25">
      <c r="A645" s="1856" t="s">
        <v>2288</v>
      </c>
      <c r="B645" s="1856" t="s">
        <v>16</v>
      </c>
      <c r="C645" s="1856" t="s">
        <v>3516</v>
      </c>
      <c r="D645" s="1856" t="s">
        <v>3517</v>
      </c>
      <c r="E645" s="1856" t="s">
        <v>3518</v>
      </c>
      <c r="F645" s="1856" t="s">
        <v>3031</v>
      </c>
      <c r="G645" s="1856" t="s">
        <v>3519</v>
      </c>
      <c r="H645" s="1856" t="s">
        <v>28</v>
      </c>
      <c r="I645" s="1856" t="s">
        <v>943</v>
      </c>
    </row>
    <row customHeight="1" ht="11.25">
      <c r="A646" s="1856" t="s">
        <v>2288</v>
      </c>
      <c r="B646" s="1856" t="s">
        <v>16</v>
      </c>
      <c r="C646" s="1856" t="s">
        <v>3520</v>
      </c>
      <c r="D646" s="1856" t="s">
        <v>3521</v>
      </c>
      <c r="E646" s="1856" t="s">
        <v>3522</v>
      </c>
      <c r="F646" s="1856" t="s">
        <v>2400</v>
      </c>
      <c r="G646" s="1856" t="s">
        <v>3523</v>
      </c>
      <c r="H646" s="1856" t="s">
        <v>28</v>
      </c>
      <c r="I646" s="1856" t="s">
        <v>943</v>
      </c>
    </row>
    <row customHeight="1" ht="11.25">
      <c r="A647" s="1856" t="s">
        <v>2288</v>
      </c>
      <c r="B647" s="1856" t="s">
        <v>16</v>
      </c>
      <c r="C647" s="1856" t="s">
        <v>3319</v>
      </c>
      <c r="D647" s="1856" t="s">
        <v>3320</v>
      </c>
      <c r="E647" s="1856" t="s">
        <v>3321</v>
      </c>
      <c r="F647" s="1856" t="s">
        <v>3108</v>
      </c>
      <c r="G647" s="1856" t="s">
        <v>3322</v>
      </c>
      <c r="H647" s="1856" t="s">
        <v>28</v>
      </c>
      <c r="I647" s="1856" t="s">
        <v>943</v>
      </c>
    </row>
    <row customHeight="1" ht="11.25">
      <c r="A648" s="1856" t="s">
        <v>2288</v>
      </c>
      <c r="B648" s="1856" t="s">
        <v>16</v>
      </c>
      <c r="C648" s="1856" t="s">
        <v>3524</v>
      </c>
      <c r="D648" s="1856" t="s">
        <v>3525</v>
      </c>
      <c r="E648" s="1856" t="s">
        <v>3526</v>
      </c>
      <c r="F648" s="1856" t="s">
        <v>3527</v>
      </c>
      <c r="G648" s="1856" t="s">
        <v>3528</v>
      </c>
      <c r="H648" s="1856" t="s">
        <v>28</v>
      </c>
      <c r="I648" s="1856" t="s">
        <v>943</v>
      </c>
    </row>
    <row customHeight="1" ht="11.25">
      <c r="A649" s="1856" t="s">
        <v>2288</v>
      </c>
      <c r="B649" s="1856" t="s">
        <v>16</v>
      </c>
      <c r="C649" s="1856" t="s">
        <v>3323</v>
      </c>
      <c r="D649" s="1856" t="s">
        <v>3324</v>
      </c>
      <c r="E649" s="1856" t="s">
        <v>3325</v>
      </c>
      <c r="F649" s="1856" t="s">
        <v>3326</v>
      </c>
      <c r="G649" s="1856" t="s">
        <v>3327</v>
      </c>
      <c r="H649" s="1856" t="s">
        <v>28</v>
      </c>
      <c r="I649" s="1856" t="s">
        <v>943</v>
      </c>
    </row>
    <row customHeight="1" ht="11.25">
      <c r="A650" s="1856" t="s">
        <v>2288</v>
      </c>
      <c r="B650" s="1856" t="s">
        <v>16</v>
      </c>
      <c r="C650" s="1856" t="s">
        <v>3529</v>
      </c>
      <c r="D650" s="1856" t="s">
        <v>3530</v>
      </c>
      <c r="E650" s="1856" t="s">
        <v>3531</v>
      </c>
      <c r="F650" s="1856" t="s">
        <v>2300</v>
      </c>
      <c r="G650" s="1856" t="s">
        <v>3532</v>
      </c>
      <c r="H650" s="1856" t="s">
        <v>28</v>
      </c>
      <c r="I650" s="1856" t="s">
        <v>943</v>
      </c>
    </row>
    <row customHeight="1" ht="11.25">
      <c r="A651" s="1856" t="s">
        <v>2288</v>
      </c>
      <c r="B651" s="1856" t="s">
        <v>16</v>
      </c>
      <c r="C651" s="1856" t="s">
        <v>3533</v>
      </c>
      <c r="D651" s="1856" t="s">
        <v>3534</v>
      </c>
      <c r="E651" s="1856" t="s">
        <v>3535</v>
      </c>
      <c r="F651" s="1856" t="s">
        <v>2888</v>
      </c>
      <c r="G651" s="1856" t="s">
        <v>3536</v>
      </c>
      <c r="H651" s="1856" t="s">
        <v>28</v>
      </c>
      <c r="I651" s="1856" t="s">
        <v>943</v>
      </c>
    </row>
    <row customHeight="1" ht="11.25">
      <c r="A652" s="1856" t="s">
        <v>2288</v>
      </c>
      <c r="B652" s="1856" t="s">
        <v>16</v>
      </c>
      <c r="C652" s="1856" t="s">
        <v>2748</v>
      </c>
      <c r="D652" s="1856" t="s">
        <v>2749</v>
      </c>
      <c r="E652" s="1856" t="s">
        <v>2750</v>
      </c>
      <c r="F652" s="1856" t="s">
        <v>2665</v>
      </c>
      <c r="G652" s="1856" t="s">
        <v>2751</v>
      </c>
      <c r="H652" s="1856" t="s">
        <v>28</v>
      </c>
      <c r="I652" s="1856" t="s">
        <v>943</v>
      </c>
    </row>
    <row customHeight="1" ht="11.25">
      <c r="A653" s="1856" t="s">
        <v>2288</v>
      </c>
      <c r="B653" s="1856" t="s">
        <v>16</v>
      </c>
      <c r="C653" s="1856" t="s">
        <v>3328</v>
      </c>
      <c r="D653" s="1856" t="s">
        <v>3329</v>
      </c>
      <c r="E653" s="1856" t="s">
        <v>3330</v>
      </c>
      <c r="F653" s="1856" t="s">
        <v>3331</v>
      </c>
      <c r="G653" s="1856" t="s">
        <v>2448</v>
      </c>
      <c r="H653" s="1856" t="s">
        <v>28</v>
      </c>
      <c r="I653" s="1856" t="s">
        <v>943</v>
      </c>
    </row>
    <row customHeight="1" ht="11.25">
      <c r="A654" s="1856" t="s">
        <v>2288</v>
      </c>
      <c r="B654" s="1856" t="s">
        <v>16</v>
      </c>
      <c r="C654" s="1856" t="s">
        <v>3340</v>
      </c>
      <c r="D654" s="1856" t="s">
        <v>3341</v>
      </c>
      <c r="E654" s="1856" t="s">
        <v>3342</v>
      </c>
      <c r="F654" s="1856" t="s">
        <v>3343</v>
      </c>
      <c r="G654" s="1856" t="s">
        <v>3344</v>
      </c>
      <c r="H654" s="1856" t="s">
        <v>28</v>
      </c>
      <c r="I654" s="1856" t="s">
        <v>943</v>
      </c>
    </row>
    <row customHeight="1" ht="11.25">
      <c r="A655" s="1856" t="s">
        <v>2288</v>
      </c>
      <c r="B655" s="1856" t="s">
        <v>16</v>
      </c>
      <c r="C655" s="1856" t="s">
        <v>3345</v>
      </c>
      <c r="D655" s="1856" t="s">
        <v>3346</v>
      </c>
      <c r="E655" s="1856" t="s">
        <v>3347</v>
      </c>
      <c r="F655" s="1856" t="s">
        <v>2665</v>
      </c>
      <c r="G655" s="1856" t="s">
        <v>3348</v>
      </c>
      <c r="H655" s="1856" t="s">
        <v>28</v>
      </c>
      <c r="I655" s="1856" t="s">
        <v>943</v>
      </c>
    </row>
    <row customHeight="1" ht="11.25">
      <c r="A656" s="1856" t="s">
        <v>2288</v>
      </c>
      <c r="B656" s="1856" t="s">
        <v>16</v>
      </c>
      <c r="C656" s="1856" t="s">
        <v>3537</v>
      </c>
      <c r="D656" s="1856" t="s">
        <v>3538</v>
      </c>
      <c r="E656" s="1856" t="s">
        <v>3539</v>
      </c>
      <c r="F656" s="1856" t="s">
        <v>2646</v>
      </c>
      <c r="G656" s="1856" t="s">
        <v>2864</v>
      </c>
      <c r="H656" s="1856" t="s">
        <v>28</v>
      </c>
      <c r="I656" s="1856" t="s">
        <v>943</v>
      </c>
    </row>
    <row customHeight="1" ht="11.25">
      <c r="A657" s="1856" t="s">
        <v>2288</v>
      </c>
      <c r="B657" s="1856" t="s">
        <v>16</v>
      </c>
      <c r="C657" s="1856" t="s">
        <v>3540</v>
      </c>
      <c r="D657" s="1856" t="s">
        <v>3541</v>
      </c>
      <c r="E657" s="1856" t="s">
        <v>3542</v>
      </c>
      <c r="F657" s="1856" t="s">
        <v>2300</v>
      </c>
      <c r="G657" s="1856" t="s">
        <v>3543</v>
      </c>
      <c r="H657" s="1856" t="s">
        <v>28</v>
      </c>
      <c r="I657" s="1856" t="s">
        <v>943</v>
      </c>
    </row>
    <row customHeight="1" ht="11.25">
      <c r="A658" s="1856" t="s">
        <v>2288</v>
      </c>
      <c r="B658" s="1856" t="s">
        <v>16</v>
      </c>
      <c r="C658" s="1856" t="s">
        <v>3349</v>
      </c>
      <c r="D658" s="1856" t="s">
        <v>3350</v>
      </c>
      <c r="E658" s="1856" t="s">
        <v>3351</v>
      </c>
      <c r="F658" s="1856" t="s">
        <v>2300</v>
      </c>
      <c r="G658" s="1856" t="s">
        <v>3352</v>
      </c>
      <c r="H658" s="1856" t="s">
        <v>28</v>
      </c>
      <c r="I658" s="1856" t="s">
        <v>943</v>
      </c>
    </row>
    <row customHeight="1" ht="11.25">
      <c r="A659" s="1856" t="s">
        <v>2288</v>
      </c>
      <c r="B659" s="1856" t="s">
        <v>16</v>
      </c>
      <c r="C659" s="1856" t="s">
        <v>3353</v>
      </c>
      <c r="D659" s="1856" t="s">
        <v>3354</v>
      </c>
      <c r="E659" s="1856" t="s">
        <v>3355</v>
      </c>
      <c r="F659" s="1856" t="s">
        <v>2300</v>
      </c>
      <c r="G659" s="1856" t="s">
        <v>3356</v>
      </c>
      <c r="H659" s="1856" t="s">
        <v>28</v>
      </c>
      <c r="I659" s="1856" t="s">
        <v>943</v>
      </c>
    </row>
    <row customHeight="1" ht="11.25">
      <c r="A660" s="1856" t="s">
        <v>2288</v>
      </c>
      <c r="B660" s="1856" t="s">
        <v>16</v>
      </c>
      <c r="C660" s="1856" t="s">
        <v>2761</v>
      </c>
      <c r="D660" s="1856" t="s">
        <v>2762</v>
      </c>
      <c r="E660" s="1856" t="s">
        <v>2763</v>
      </c>
      <c r="F660" s="1856" t="s">
        <v>2759</v>
      </c>
      <c r="G660" s="1856" t="s">
        <v>2764</v>
      </c>
      <c r="H660" s="1856" t="s">
        <v>28</v>
      </c>
      <c r="I660" s="1856" t="s">
        <v>943</v>
      </c>
    </row>
    <row customHeight="1" ht="11.25">
      <c r="A661" s="1856" t="s">
        <v>2288</v>
      </c>
      <c r="B661" s="1856" t="s">
        <v>16</v>
      </c>
      <c r="C661" s="1856" t="s">
        <v>3544</v>
      </c>
      <c r="D661" s="1856" t="s">
        <v>3545</v>
      </c>
      <c r="E661" s="1856" t="s">
        <v>3546</v>
      </c>
      <c r="F661" s="1856" t="s">
        <v>2746</v>
      </c>
      <c r="G661" s="1856" t="s">
        <v>3547</v>
      </c>
      <c r="H661" s="1856" t="s">
        <v>28</v>
      </c>
      <c r="I661" s="1856" t="s">
        <v>943</v>
      </c>
    </row>
    <row customHeight="1" ht="11.25">
      <c r="A662" s="1856" t="s">
        <v>2288</v>
      </c>
      <c r="B662" s="1856" t="s">
        <v>16</v>
      </c>
      <c r="C662" s="1856" t="s">
        <v>2773</v>
      </c>
      <c r="D662" s="1856" t="s">
        <v>2774</v>
      </c>
      <c r="E662" s="1856" t="s">
        <v>2775</v>
      </c>
      <c r="F662" s="1856" t="s">
        <v>2656</v>
      </c>
      <c r="G662" s="1856" t="s">
        <v>2776</v>
      </c>
      <c r="H662" s="1856" t="s">
        <v>28</v>
      </c>
      <c r="I662" s="1856" t="s">
        <v>943</v>
      </c>
    </row>
    <row customHeight="1" ht="11.25">
      <c r="A663" s="1856" t="s">
        <v>2288</v>
      </c>
      <c r="B663" s="1856" t="s">
        <v>16</v>
      </c>
      <c r="C663" s="1856" t="s">
        <v>2781</v>
      </c>
      <c r="D663" s="1856" t="s">
        <v>2782</v>
      </c>
      <c r="E663" s="1856" t="s">
        <v>2783</v>
      </c>
      <c r="F663" s="1856" t="s">
        <v>2300</v>
      </c>
      <c r="G663" s="1856" t="s">
        <v>2784</v>
      </c>
      <c r="H663" s="1856" t="s">
        <v>28</v>
      </c>
      <c r="I663" s="1856" t="s">
        <v>943</v>
      </c>
    </row>
    <row customHeight="1" ht="11.25">
      <c r="A664" s="1856" t="s">
        <v>2288</v>
      </c>
      <c r="B664" s="1856" t="s">
        <v>16</v>
      </c>
      <c r="C664" s="1856" t="s">
        <v>3548</v>
      </c>
      <c r="D664" s="1856" t="s">
        <v>3549</v>
      </c>
      <c r="E664" s="1856" t="s">
        <v>3550</v>
      </c>
      <c r="F664" s="1856" t="s">
        <v>2687</v>
      </c>
      <c r="G664" s="1856" t="s">
        <v>3551</v>
      </c>
      <c r="H664" s="1856" t="s">
        <v>28</v>
      </c>
      <c r="I664" s="1856" t="s">
        <v>943</v>
      </c>
    </row>
    <row customHeight="1" ht="11.25">
      <c r="A665" s="1856" t="s">
        <v>2288</v>
      </c>
      <c r="B665" s="1856" t="s">
        <v>16</v>
      </c>
      <c r="C665" s="1856" t="s">
        <v>3552</v>
      </c>
      <c r="D665" s="1856" t="s">
        <v>3553</v>
      </c>
      <c r="E665" s="1856" t="s">
        <v>3554</v>
      </c>
      <c r="F665" s="1856" t="s">
        <v>2300</v>
      </c>
      <c r="G665" s="1856" t="s">
        <v>3555</v>
      </c>
      <c r="H665" s="1856" t="s">
        <v>28</v>
      </c>
      <c r="I665" s="1856" t="s">
        <v>943</v>
      </c>
    </row>
    <row customHeight="1" ht="11.25">
      <c r="A666" s="1856" t="s">
        <v>2288</v>
      </c>
      <c r="B666" s="1856" t="s">
        <v>16</v>
      </c>
      <c r="C666" s="1856" t="s">
        <v>2817</v>
      </c>
      <c r="D666" s="1856" t="s">
        <v>2818</v>
      </c>
      <c r="E666" s="1856" t="s">
        <v>2819</v>
      </c>
      <c r="F666" s="1856" t="s">
        <v>2391</v>
      </c>
      <c r="G666" s="1856" t="s">
        <v>2820</v>
      </c>
      <c r="H666" s="1856" t="s">
        <v>28</v>
      </c>
      <c r="I666" s="1856" t="s">
        <v>943</v>
      </c>
    </row>
    <row customHeight="1" ht="11.25">
      <c r="A667" s="1856" t="s">
        <v>2288</v>
      </c>
      <c r="B667" s="1856" t="s">
        <v>16</v>
      </c>
      <c r="C667" s="1856" t="s">
        <v>3365</v>
      </c>
      <c r="D667" s="1856" t="s">
        <v>3366</v>
      </c>
      <c r="E667" s="1856" t="s">
        <v>3367</v>
      </c>
      <c r="F667" s="1856" t="s">
        <v>2665</v>
      </c>
      <c r="G667" s="1856" t="s">
        <v>3368</v>
      </c>
      <c r="H667" s="1856" t="s">
        <v>28</v>
      </c>
      <c r="I667" s="1856" t="s">
        <v>943</v>
      </c>
    </row>
    <row customHeight="1" ht="11.25">
      <c r="A668" s="1856" t="s">
        <v>2288</v>
      </c>
      <c r="B668" s="1856" t="s">
        <v>16</v>
      </c>
      <c r="C668" s="1856" t="s">
        <v>2821</v>
      </c>
      <c r="D668" s="1856" t="s">
        <v>2822</v>
      </c>
      <c r="E668" s="1856" t="s">
        <v>2823</v>
      </c>
      <c r="F668" s="1856" t="s">
        <v>2692</v>
      </c>
      <c r="G668" s="1856" t="s">
        <v>2824</v>
      </c>
      <c r="H668" s="1856" t="s">
        <v>28</v>
      </c>
      <c r="I668" s="1856" t="s">
        <v>943</v>
      </c>
    </row>
    <row customHeight="1" ht="11.25">
      <c r="A669" s="1856" t="s">
        <v>2288</v>
      </c>
      <c r="B669" s="1856" t="s">
        <v>16</v>
      </c>
      <c r="C669" s="1856" t="s">
        <v>3556</v>
      </c>
      <c r="D669" s="1856" t="s">
        <v>3557</v>
      </c>
      <c r="E669" s="1856" t="s">
        <v>3558</v>
      </c>
      <c r="F669" s="1856" t="s">
        <v>3343</v>
      </c>
      <c r="G669" s="1856" t="s">
        <v>3559</v>
      </c>
      <c r="H669" s="1856" t="s">
        <v>28</v>
      </c>
      <c r="I669" s="1856" t="s">
        <v>943</v>
      </c>
    </row>
    <row customHeight="1" ht="11.25">
      <c r="A670" s="1856" t="s">
        <v>2288</v>
      </c>
      <c r="B670" s="1856" t="s">
        <v>16</v>
      </c>
      <c r="C670" s="1856" t="s">
        <v>3560</v>
      </c>
      <c r="D670" s="1856" t="s">
        <v>3561</v>
      </c>
      <c r="E670" s="1856" t="s">
        <v>3562</v>
      </c>
      <c r="F670" s="1856" t="s">
        <v>2646</v>
      </c>
      <c r="G670" s="1856" t="s">
        <v>2949</v>
      </c>
      <c r="H670" s="1856" t="s">
        <v>28</v>
      </c>
      <c r="I670" s="1856" t="s">
        <v>943</v>
      </c>
    </row>
    <row customHeight="1" ht="11.25">
      <c r="A671" s="1856" t="s">
        <v>2288</v>
      </c>
      <c r="B671" s="1856" t="s">
        <v>16</v>
      </c>
      <c r="C671" s="1856" t="s">
        <v>3563</v>
      </c>
      <c r="D671" s="1856" t="s">
        <v>3564</v>
      </c>
      <c r="E671" s="1856" t="s">
        <v>3565</v>
      </c>
      <c r="F671" s="1856" t="s">
        <v>2319</v>
      </c>
      <c r="G671" s="1856" t="s">
        <v>3566</v>
      </c>
      <c r="H671" s="1856" t="s">
        <v>28</v>
      </c>
      <c r="I671" s="1856" t="s">
        <v>943</v>
      </c>
    </row>
    <row customHeight="1" ht="11.25">
      <c r="A672" s="1856" t="s">
        <v>2288</v>
      </c>
      <c r="B672" s="1856" t="s">
        <v>16</v>
      </c>
      <c r="C672" s="1856" t="s">
        <v>3567</v>
      </c>
      <c r="D672" s="1856" t="s">
        <v>3568</v>
      </c>
      <c r="E672" s="1856" t="s">
        <v>3569</v>
      </c>
      <c r="F672" s="1856" t="s">
        <v>2888</v>
      </c>
      <c r="G672" s="1856" t="s">
        <v>3536</v>
      </c>
      <c r="H672" s="1856" t="s">
        <v>28</v>
      </c>
      <c r="I672" s="1856" t="s">
        <v>943</v>
      </c>
    </row>
    <row customHeight="1" ht="11.25">
      <c r="A673" s="1856" t="s">
        <v>2288</v>
      </c>
      <c r="B673" s="1856" t="s">
        <v>16</v>
      </c>
      <c r="C673" s="1856" t="s">
        <v>3570</v>
      </c>
      <c r="D673" s="1856" t="s">
        <v>3571</v>
      </c>
      <c r="E673" s="1856" t="s">
        <v>3572</v>
      </c>
      <c r="F673" s="1856" t="s">
        <v>2646</v>
      </c>
      <c r="G673" s="1856" t="s">
        <v>3573</v>
      </c>
      <c r="H673" s="1856" t="s">
        <v>28</v>
      </c>
      <c r="I673" s="1856" t="s">
        <v>943</v>
      </c>
    </row>
    <row customHeight="1" ht="11.25">
      <c r="A674" s="1856" t="s">
        <v>2288</v>
      </c>
      <c r="B674" s="1856" t="s">
        <v>16</v>
      </c>
      <c r="C674" s="1856" t="s">
        <v>3574</v>
      </c>
      <c r="D674" s="1856" t="s">
        <v>3575</v>
      </c>
      <c r="E674" s="1856" t="s">
        <v>3576</v>
      </c>
      <c r="F674" s="1856" t="s">
        <v>3031</v>
      </c>
      <c r="G674" s="1856" t="s">
        <v>3577</v>
      </c>
      <c r="H674" s="1856" t="s">
        <v>28</v>
      </c>
      <c r="I674" s="1856" t="s">
        <v>943</v>
      </c>
    </row>
    <row customHeight="1" ht="11.25">
      <c r="A675" s="1856" t="s">
        <v>2288</v>
      </c>
      <c r="B675" s="1856" t="s">
        <v>16</v>
      </c>
      <c r="C675" s="1856" t="s">
        <v>2833</v>
      </c>
      <c r="D675" s="1856" t="s">
        <v>2834</v>
      </c>
      <c r="E675" s="1856" t="s">
        <v>2835</v>
      </c>
      <c r="F675" s="1856" t="s">
        <v>2300</v>
      </c>
      <c r="G675" s="1856" t="s">
        <v>2836</v>
      </c>
      <c r="H675" s="1856" t="s">
        <v>28</v>
      </c>
      <c r="I675" s="1856" t="s">
        <v>943</v>
      </c>
    </row>
    <row customHeight="1" ht="11.25">
      <c r="A676" s="1856" t="s">
        <v>2288</v>
      </c>
      <c r="B676" s="1856" t="s">
        <v>16</v>
      </c>
      <c r="C676" s="1856" t="s">
        <v>2837</v>
      </c>
      <c r="D676" s="1856" t="s">
        <v>2838</v>
      </c>
      <c r="E676" s="1856" t="s">
        <v>2839</v>
      </c>
      <c r="F676" s="1856" t="s">
        <v>2840</v>
      </c>
      <c r="G676" s="1856" t="s">
        <v>2841</v>
      </c>
      <c r="H676" s="1856" t="s">
        <v>28</v>
      </c>
      <c r="I676" s="1856" t="s">
        <v>943</v>
      </c>
    </row>
    <row customHeight="1" ht="11.25">
      <c r="A677" s="1856" t="s">
        <v>2288</v>
      </c>
      <c r="B677" s="1856" t="s">
        <v>16</v>
      </c>
      <c r="C677" s="1856" t="s">
        <v>2842</v>
      </c>
      <c r="D677" s="1856" t="s">
        <v>2843</v>
      </c>
      <c r="E677" s="1856" t="s">
        <v>2844</v>
      </c>
      <c r="F677" s="1856" t="s">
        <v>2687</v>
      </c>
      <c r="G677" s="1856" t="s">
        <v>2845</v>
      </c>
      <c r="H677" s="1856" t="s">
        <v>28</v>
      </c>
      <c r="I677" s="1856" t="s">
        <v>943</v>
      </c>
    </row>
    <row customHeight="1" ht="11.25">
      <c r="A678" s="1856" t="s">
        <v>2288</v>
      </c>
      <c r="B678" s="1856" t="s">
        <v>16</v>
      </c>
      <c r="C678" s="1856" t="s">
        <v>2846</v>
      </c>
      <c r="D678" s="1856" t="s">
        <v>2847</v>
      </c>
      <c r="E678" s="1856" t="s">
        <v>2848</v>
      </c>
      <c r="F678" s="1856" t="s">
        <v>2840</v>
      </c>
      <c r="G678" s="1856" t="s">
        <v>2849</v>
      </c>
      <c r="H678" s="1856" t="s">
        <v>28</v>
      </c>
      <c r="I678" s="1856" t="s">
        <v>943</v>
      </c>
    </row>
    <row customHeight="1" ht="11.25">
      <c r="A679" s="1856" t="s">
        <v>2288</v>
      </c>
      <c r="B679" s="1856" t="s">
        <v>16</v>
      </c>
      <c r="C679" s="1856" t="s">
        <v>3578</v>
      </c>
      <c r="D679" s="1856" t="s">
        <v>3579</v>
      </c>
      <c r="E679" s="1856" t="s">
        <v>3580</v>
      </c>
      <c r="F679" s="1856" t="s">
        <v>2646</v>
      </c>
      <c r="G679" s="1856" t="s">
        <v>3581</v>
      </c>
      <c r="H679" s="1856" t="s">
        <v>28</v>
      </c>
      <c r="I679" s="1856" t="s">
        <v>943</v>
      </c>
    </row>
    <row customHeight="1" ht="11.25">
      <c r="A680" s="1856" t="s">
        <v>2288</v>
      </c>
      <c r="B680" s="1856" t="s">
        <v>16</v>
      </c>
      <c r="C680" s="1856" t="s">
        <v>2877</v>
      </c>
      <c r="D680" s="1856" t="s">
        <v>2878</v>
      </c>
      <c r="E680" s="1856" t="s">
        <v>2879</v>
      </c>
      <c r="F680" s="1856" t="s">
        <v>2674</v>
      </c>
      <c r="G680" s="1856" t="s">
        <v>2880</v>
      </c>
      <c r="H680" s="1856" t="s">
        <v>28</v>
      </c>
      <c r="I680" s="1856" t="s">
        <v>943</v>
      </c>
    </row>
    <row customHeight="1" ht="11.25">
      <c r="A681" s="1856" t="s">
        <v>2288</v>
      </c>
      <c r="B681" s="1856" t="s">
        <v>16</v>
      </c>
      <c r="C681" s="1856" t="s">
        <v>3582</v>
      </c>
      <c r="D681" s="1856" t="s">
        <v>3583</v>
      </c>
      <c r="E681" s="1856" t="s">
        <v>3584</v>
      </c>
      <c r="F681" s="1856" t="s">
        <v>3031</v>
      </c>
      <c r="G681" s="1856" t="s">
        <v>3585</v>
      </c>
      <c r="H681" s="1856" t="s">
        <v>28</v>
      </c>
      <c r="I681" s="1856" t="s">
        <v>943</v>
      </c>
    </row>
    <row customHeight="1" ht="11.25">
      <c r="A682" s="1856" t="s">
        <v>2288</v>
      </c>
      <c r="B682" s="1856" t="s">
        <v>16</v>
      </c>
      <c r="C682" s="1856" t="s">
        <v>3586</v>
      </c>
      <c r="D682" s="1856" t="s">
        <v>3587</v>
      </c>
      <c r="E682" s="1856" t="s">
        <v>3588</v>
      </c>
      <c r="F682" s="1856" t="s">
        <v>2646</v>
      </c>
      <c r="G682" s="1856" t="s">
        <v>3476</v>
      </c>
      <c r="H682" s="1856" t="s">
        <v>28</v>
      </c>
      <c r="I682" s="1856" t="s">
        <v>943</v>
      </c>
    </row>
    <row customHeight="1" ht="11.25">
      <c r="A683" s="1856" t="s">
        <v>2288</v>
      </c>
      <c r="B683" s="1856" t="s">
        <v>16</v>
      </c>
      <c r="C683" s="1856" t="s">
        <v>2885</v>
      </c>
      <c r="D683" s="1856" t="s">
        <v>2886</v>
      </c>
      <c r="E683" s="1856" t="s">
        <v>2887</v>
      </c>
      <c r="F683" s="1856" t="s">
        <v>2888</v>
      </c>
      <c r="G683" s="1856" t="s">
        <v>2889</v>
      </c>
      <c r="H683" s="1856" t="s">
        <v>28</v>
      </c>
      <c r="I683" s="1856" t="s">
        <v>943</v>
      </c>
    </row>
    <row customHeight="1" ht="11.25">
      <c r="A684" s="1856" t="s">
        <v>2288</v>
      </c>
      <c r="B684" s="1856" t="s">
        <v>16</v>
      </c>
      <c r="C684" s="1856" t="s">
        <v>3589</v>
      </c>
      <c r="D684" s="1856" t="s">
        <v>3590</v>
      </c>
      <c r="E684" s="1856" t="s">
        <v>3591</v>
      </c>
      <c r="F684" s="1856" t="s">
        <v>2300</v>
      </c>
      <c r="G684" s="1856" t="s">
        <v>3592</v>
      </c>
      <c r="H684" s="1856" t="s">
        <v>28</v>
      </c>
      <c r="I684" s="1856" t="s">
        <v>943</v>
      </c>
    </row>
    <row customHeight="1" ht="11.25">
      <c r="A685" s="1856" t="s">
        <v>2288</v>
      </c>
      <c r="B685" s="1856" t="s">
        <v>16</v>
      </c>
      <c r="C685" s="1856" t="s">
        <v>3593</v>
      </c>
      <c r="D685" s="1856" t="s">
        <v>3594</v>
      </c>
      <c r="E685" s="1856" t="s">
        <v>3595</v>
      </c>
      <c r="F685" s="1856" t="s">
        <v>2300</v>
      </c>
      <c r="G685" s="1856" t="s">
        <v>3596</v>
      </c>
      <c r="H685" s="1856" t="s">
        <v>28</v>
      </c>
      <c r="I685" s="1856" t="s">
        <v>943</v>
      </c>
    </row>
    <row customHeight="1" ht="11.25">
      <c r="A686" s="1856" t="s">
        <v>2288</v>
      </c>
      <c r="B686" s="1856" t="s">
        <v>16</v>
      </c>
      <c r="C686" s="1856" t="s">
        <v>2895</v>
      </c>
      <c r="D686" s="1856" t="s">
        <v>2896</v>
      </c>
      <c r="E686" s="1856" t="s">
        <v>2897</v>
      </c>
      <c r="F686" s="1856" t="s">
        <v>2788</v>
      </c>
      <c r="G686" s="1856" t="s">
        <v>2898</v>
      </c>
      <c r="H686" s="1856" t="s">
        <v>28</v>
      </c>
      <c r="I686" s="1856" t="s">
        <v>943</v>
      </c>
    </row>
    <row customHeight="1" ht="11.25">
      <c r="A687" s="1856" t="s">
        <v>2288</v>
      </c>
      <c r="B687" s="1856" t="s">
        <v>16</v>
      </c>
      <c r="C687" s="1856" t="s">
        <v>3597</v>
      </c>
      <c r="D687" s="1856" t="s">
        <v>3598</v>
      </c>
      <c r="E687" s="1856" t="s">
        <v>3599</v>
      </c>
      <c r="F687" s="1856" t="s">
        <v>2646</v>
      </c>
      <c r="G687" s="1856" t="s">
        <v>3559</v>
      </c>
      <c r="H687" s="1856" t="s">
        <v>28</v>
      </c>
      <c r="I687" s="1856" t="s">
        <v>943</v>
      </c>
    </row>
    <row customHeight="1" ht="11.25">
      <c r="A688" s="1856" t="s">
        <v>2288</v>
      </c>
      <c r="B688" s="1856" t="s">
        <v>16</v>
      </c>
      <c r="C688" s="1856" t="s">
        <v>3600</v>
      </c>
      <c r="D688" s="1856" t="s">
        <v>3601</v>
      </c>
      <c r="E688" s="1856" t="s">
        <v>3602</v>
      </c>
      <c r="F688" s="1856" t="s">
        <v>2687</v>
      </c>
      <c r="G688" s="1856" t="s">
        <v>3603</v>
      </c>
      <c r="H688" s="1856" t="s">
        <v>28</v>
      </c>
      <c r="I688" s="1856" t="s">
        <v>943</v>
      </c>
    </row>
    <row customHeight="1" ht="11.25">
      <c r="A689" s="1856" t="s">
        <v>2288</v>
      </c>
      <c r="B689" s="1856" t="s">
        <v>16</v>
      </c>
      <c r="C689" s="1856" t="s">
        <v>2911</v>
      </c>
      <c r="D689" s="1856" t="s">
        <v>2912</v>
      </c>
      <c r="E689" s="1856" t="s">
        <v>2913</v>
      </c>
      <c r="F689" s="1856" t="s">
        <v>2300</v>
      </c>
      <c r="G689" s="1856" t="s">
        <v>2914</v>
      </c>
      <c r="H689" s="1856" t="s">
        <v>28</v>
      </c>
      <c r="I689" s="1856" t="s">
        <v>943</v>
      </c>
    </row>
    <row customHeight="1" ht="11.25">
      <c r="A690" s="1856" t="s">
        <v>2288</v>
      </c>
      <c r="B690" s="1856" t="s">
        <v>16</v>
      </c>
      <c r="C690" s="1856" t="s">
        <v>3604</v>
      </c>
      <c r="D690" s="1856" t="s">
        <v>3605</v>
      </c>
      <c r="E690" s="1856" t="s">
        <v>3606</v>
      </c>
      <c r="F690" s="1856" t="s">
        <v>3607</v>
      </c>
      <c r="G690" s="1856" t="s">
        <v>3608</v>
      </c>
      <c r="H690" s="1856" t="s">
        <v>28</v>
      </c>
      <c r="I690" s="1856" t="s">
        <v>943</v>
      </c>
    </row>
    <row customHeight="1" ht="11.25">
      <c r="A691" s="1856" t="s">
        <v>2288</v>
      </c>
      <c r="B691" s="1856" t="s">
        <v>16</v>
      </c>
      <c r="C691" s="1856" t="s">
        <v>2922</v>
      </c>
      <c r="D691" s="1856" t="s">
        <v>2923</v>
      </c>
      <c r="E691" s="1856" t="s">
        <v>2924</v>
      </c>
      <c r="F691" s="1856" t="s">
        <v>2687</v>
      </c>
      <c r="G691" s="1856" t="s">
        <v>2925</v>
      </c>
      <c r="H691" s="1856" t="s">
        <v>28</v>
      </c>
      <c r="I691" s="1856" t="s">
        <v>943</v>
      </c>
    </row>
    <row customHeight="1" ht="11.25">
      <c r="A692" s="1856" t="s">
        <v>2288</v>
      </c>
      <c r="B692" s="1856" t="s">
        <v>16</v>
      </c>
      <c r="C692" s="1856" t="s">
        <v>3609</v>
      </c>
      <c r="D692" s="1856" t="s">
        <v>3610</v>
      </c>
      <c r="E692" s="1856" t="s">
        <v>3611</v>
      </c>
      <c r="F692" s="1856" t="s">
        <v>2300</v>
      </c>
      <c r="G692" s="1856" t="s">
        <v>3612</v>
      </c>
      <c r="H692" s="1856" t="s">
        <v>28</v>
      </c>
      <c r="I692" s="1856" t="s">
        <v>943</v>
      </c>
    </row>
    <row customHeight="1" ht="11.25">
      <c r="A693" s="1856" t="s">
        <v>2288</v>
      </c>
      <c r="B693" s="1856" t="s">
        <v>16</v>
      </c>
      <c r="C693" s="1856" t="s">
        <v>3613</v>
      </c>
      <c r="D693" s="1856" t="s">
        <v>3614</v>
      </c>
      <c r="E693" s="1856" t="s">
        <v>3615</v>
      </c>
      <c r="F693" s="1856" t="s">
        <v>2300</v>
      </c>
      <c r="G693" s="1856" t="s">
        <v>3616</v>
      </c>
      <c r="H693" s="1856" t="s">
        <v>28</v>
      </c>
      <c r="I693" s="1856" t="s">
        <v>943</v>
      </c>
    </row>
    <row customHeight="1" ht="11.25">
      <c r="A694" s="1856" t="s">
        <v>2288</v>
      </c>
      <c r="B694" s="1856" t="s">
        <v>16</v>
      </c>
      <c r="C694" s="1856" t="s">
        <v>3617</v>
      </c>
      <c r="D694" s="1856" t="s">
        <v>3618</v>
      </c>
      <c r="E694" s="1856" t="s">
        <v>3619</v>
      </c>
      <c r="F694" s="1856" t="s">
        <v>2300</v>
      </c>
      <c r="G694" s="1856" t="s">
        <v>3620</v>
      </c>
      <c r="H694" s="1856" t="s">
        <v>28</v>
      </c>
      <c r="I694" s="1856" t="s">
        <v>943</v>
      </c>
    </row>
    <row customHeight="1" ht="11.25">
      <c r="A695" s="1856" t="s">
        <v>2288</v>
      </c>
      <c r="B695" s="1856" t="s">
        <v>16</v>
      </c>
      <c r="C695" s="1856" t="s">
        <v>2938</v>
      </c>
      <c r="D695" s="1856" t="s">
        <v>2939</v>
      </c>
      <c r="E695" s="1856" t="s">
        <v>2940</v>
      </c>
      <c r="F695" s="1856" t="s">
        <v>2333</v>
      </c>
      <c r="G695" s="1856" t="s">
        <v>2941</v>
      </c>
      <c r="H695" s="1856" t="s">
        <v>28</v>
      </c>
      <c r="I695" s="1856" t="s">
        <v>943</v>
      </c>
    </row>
    <row customHeight="1" ht="11.25">
      <c r="A696" s="1856" t="s">
        <v>2288</v>
      </c>
      <c r="B696" s="1856" t="s">
        <v>16</v>
      </c>
      <c r="C696" s="1856" t="s">
        <v>3621</v>
      </c>
      <c r="D696" s="1856" t="s">
        <v>3622</v>
      </c>
      <c r="E696" s="1856" t="s">
        <v>3623</v>
      </c>
      <c r="F696" s="1856" t="s">
        <v>2746</v>
      </c>
      <c r="G696" s="1856" t="s">
        <v>3624</v>
      </c>
      <c r="H696" s="1856" t="s">
        <v>28</v>
      </c>
      <c r="I696" s="1856" t="s">
        <v>943</v>
      </c>
    </row>
    <row customHeight="1" ht="11.25">
      <c r="A697" s="1856" t="s">
        <v>2288</v>
      </c>
      <c r="B697" s="1856" t="s">
        <v>16</v>
      </c>
      <c r="C697" s="1856" t="s">
        <v>2942</v>
      </c>
      <c r="D697" s="1856" t="s">
        <v>2943</v>
      </c>
      <c r="E697" s="1856" t="s">
        <v>2944</v>
      </c>
      <c r="F697" s="1856" t="s">
        <v>2701</v>
      </c>
      <c r="G697" s="1856" t="s">
        <v>2945</v>
      </c>
      <c r="H697" s="1856" t="s">
        <v>28</v>
      </c>
      <c r="I697" s="1856" t="s">
        <v>943</v>
      </c>
    </row>
    <row customHeight="1" ht="11.25">
      <c r="A698" s="1856" t="s">
        <v>2288</v>
      </c>
      <c r="B698" s="1856" t="s">
        <v>16</v>
      </c>
      <c r="C698" s="1856" t="s">
        <v>3625</v>
      </c>
      <c r="D698" s="1856" t="s">
        <v>3626</v>
      </c>
      <c r="E698" s="1856" t="s">
        <v>3627</v>
      </c>
      <c r="F698" s="1856" t="s">
        <v>2400</v>
      </c>
      <c r="G698" s="1856" t="s">
        <v>3628</v>
      </c>
      <c r="H698" s="1856" t="s">
        <v>28</v>
      </c>
      <c r="I698" s="1856" t="s">
        <v>943</v>
      </c>
    </row>
    <row customHeight="1" ht="11.25">
      <c r="A699" s="1856" t="s">
        <v>2288</v>
      </c>
      <c r="B699" s="1856" t="s">
        <v>16</v>
      </c>
      <c r="C699" s="1856" t="s">
        <v>2992</v>
      </c>
      <c r="D699" s="1856" t="s">
        <v>2993</v>
      </c>
      <c r="E699" s="1856" t="s">
        <v>2994</v>
      </c>
      <c r="F699" s="1856" t="s">
        <v>2300</v>
      </c>
      <c r="G699" s="1856" t="s">
        <v>2995</v>
      </c>
      <c r="H699" s="1856" t="s">
        <v>28</v>
      </c>
      <c r="I699" s="1856" t="s">
        <v>943</v>
      </c>
    </row>
    <row customHeight="1" ht="11.25">
      <c r="A700" s="1856" t="s">
        <v>2288</v>
      </c>
      <c r="B700" s="1856" t="s">
        <v>16</v>
      </c>
      <c r="C700" s="1856" t="s">
        <v>3004</v>
      </c>
      <c r="D700" s="1856" t="s">
        <v>3005</v>
      </c>
      <c r="E700" s="1856" t="s">
        <v>3006</v>
      </c>
      <c r="F700" s="1856" t="s">
        <v>2646</v>
      </c>
      <c r="G700" s="1856" t="s">
        <v>28</v>
      </c>
      <c r="H700" s="1856" t="s">
        <v>28</v>
      </c>
      <c r="I700" s="1856" t="s">
        <v>943</v>
      </c>
    </row>
    <row customHeight="1" ht="11.25">
      <c r="A701" s="1856" t="s">
        <v>2288</v>
      </c>
      <c r="B701" s="1856" t="s">
        <v>16</v>
      </c>
      <c r="C701" s="1856" t="s">
        <v>3629</v>
      </c>
      <c r="D701" s="1856" t="s">
        <v>3630</v>
      </c>
      <c r="E701" s="1856" t="s">
        <v>3631</v>
      </c>
      <c r="F701" s="1856" t="s">
        <v>2651</v>
      </c>
      <c r="G701" s="1856" t="s">
        <v>3632</v>
      </c>
      <c r="H701" s="1856" t="s">
        <v>28</v>
      </c>
      <c r="I701" s="1856" t="s">
        <v>943</v>
      </c>
    </row>
    <row customHeight="1" ht="11.25">
      <c r="A702" s="1856" t="s">
        <v>2288</v>
      </c>
      <c r="B702" s="1856" t="s">
        <v>16</v>
      </c>
      <c r="C702" s="1856" t="s">
        <v>3633</v>
      </c>
      <c r="D702" s="1856" t="s">
        <v>3634</v>
      </c>
      <c r="E702" s="1856" t="s">
        <v>3635</v>
      </c>
      <c r="F702" s="1856" t="s">
        <v>3636</v>
      </c>
      <c r="G702" s="1856" t="s">
        <v>3637</v>
      </c>
      <c r="H702" s="1856" t="s">
        <v>28</v>
      </c>
      <c r="I702" s="1856" t="s">
        <v>943</v>
      </c>
    </row>
    <row customHeight="1" ht="11.25">
      <c r="A703" s="1856" t="s">
        <v>2288</v>
      </c>
      <c r="B703" s="1856" t="s">
        <v>16</v>
      </c>
      <c r="C703" s="1856" t="s">
        <v>3638</v>
      </c>
      <c r="D703" s="1856" t="s">
        <v>3639</v>
      </c>
      <c r="E703" s="1856" t="s">
        <v>3640</v>
      </c>
      <c r="F703" s="1856" t="s">
        <v>2656</v>
      </c>
      <c r="G703" s="1856" t="s">
        <v>28</v>
      </c>
      <c r="H703" s="1856" t="s">
        <v>28</v>
      </c>
      <c r="I703" s="1856" t="s">
        <v>943</v>
      </c>
    </row>
    <row customHeight="1" ht="11.25">
      <c r="A704" s="1856" t="s">
        <v>2288</v>
      </c>
      <c r="B704" s="1856" t="s">
        <v>16</v>
      </c>
      <c r="C704" s="1856" t="s">
        <v>3024</v>
      </c>
      <c r="D704" s="1856" t="s">
        <v>3025</v>
      </c>
      <c r="E704" s="1856" t="s">
        <v>3026</v>
      </c>
      <c r="F704" s="1856" t="s">
        <v>2651</v>
      </c>
      <c r="G704" s="1856" t="s">
        <v>3027</v>
      </c>
      <c r="H704" s="1856" t="s">
        <v>28</v>
      </c>
      <c r="I704" s="1856" t="s">
        <v>943</v>
      </c>
    </row>
    <row customHeight="1" ht="11.25">
      <c r="A705" s="1856" t="s">
        <v>2288</v>
      </c>
      <c r="B705" s="1856" t="s">
        <v>16</v>
      </c>
      <c r="C705" s="1856" t="s">
        <v>3641</v>
      </c>
      <c r="D705" s="1856" t="s">
        <v>3642</v>
      </c>
      <c r="E705" s="1856" t="s">
        <v>3643</v>
      </c>
      <c r="F705" s="1856" t="s">
        <v>3031</v>
      </c>
      <c r="G705" s="1856" t="s">
        <v>2816</v>
      </c>
      <c r="H705" s="1856" t="s">
        <v>28</v>
      </c>
      <c r="I705" s="1856" t="s">
        <v>943</v>
      </c>
    </row>
    <row customHeight="1" ht="11.25">
      <c r="A706" s="1856" t="s">
        <v>2288</v>
      </c>
      <c r="B706" s="1856" t="s">
        <v>16</v>
      </c>
      <c r="C706" s="1856" t="s">
        <v>3397</v>
      </c>
      <c r="D706" s="1856" t="s">
        <v>3398</v>
      </c>
      <c r="E706" s="1856" t="s">
        <v>3399</v>
      </c>
      <c r="F706" s="1856" t="s">
        <v>2391</v>
      </c>
      <c r="G706" s="1856" t="s">
        <v>3400</v>
      </c>
      <c r="H706" s="1856" t="s">
        <v>28</v>
      </c>
      <c r="I706" s="1856" t="s">
        <v>943</v>
      </c>
    </row>
    <row customHeight="1" ht="11.25">
      <c r="A707" s="1856" t="s">
        <v>2288</v>
      </c>
      <c r="B707" s="1856" t="s">
        <v>16</v>
      </c>
      <c r="C707" s="1856" t="s">
        <v>3401</v>
      </c>
      <c r="D707" s="1856" t="s">
        <v>3402</v>
      </c>
      <c r="E707" s="1856" t="s">
        <v>3403</v>
      </c>
      <c r="F707" s="1856" t="s">
        <v>2701</v>
      </c>
      <c r="G707" s="1856" t="s">
        <v>3404</v>
      </c>
      <c r="H707" s="1856" t="s">
        <v>28</v>
      </c>
      <c r="I707" s="1856" t="s">
        <v>943</v>
      </c>
    </row>
    <row customHeight="1" ht="11.25">
      <c r="A708" s="1856" t="s">
        <v>2288</v>
      </c>
      <c r="B708" s="1856" t="s">
        <v>16</v>
      </c>
      <c r="C708" s="1856" t="s">
        <v>3405</v>
      </c>
      <c r="D708" s="1856" t="s">
        <v>3406</v>
      </c>
      <c r="E708" s="1856" t="s">
        <v>3407</v>
      </c>
      <c r="F708" s="1856" t="s">
        <v>2759</v>
      </c>
      <c r="G708" s="1856" t="s">
        <v>3408</v>
      </c>
      <c r="H708" s="1856" t="s">
        <v>28</v>
      </c>
      <c r="I708" s="1856" t="s">
        <v>943</v>
      </c>
    </row>
    <row customHeight="1" ht="11.25">
      <c r="A709" s="1856" t="s">
        <v>2288</v>
      </c>
      <c r="B709" s="1856" t="s">
        <v>16</v>
      </c>
      <c r="C709" s="1856" t="s">
        <v>3409</v>
      </c>
      <c r="D709" s="1856" t="s">
        <v>3410</v>
      </c>
      <c r="E709" s="1856" t="s">
        <v>3411</v>
      </c>
      <c r="F709" s="1856" t="s">
        <v>2746</v>
      </c>
      <c r="G709" s="1856" t="s">
        <v>3412</v>
      </c>
      <c r="H709" s="1856" t="s">
        <v>28</v>
      </c>
      <c r="I709" s="1856" t="s">
        <v>943</v>
      </c>
    </row>
    <row customHeight="1" ht="11.25">
      <c r="A710" s="1856" t="s">
        <v>2288</v>
      </c>
      <c r="B710" s="1856" t="s">
        <v>16</v>
      </c>
      <c r="C710" s="1856" t="s">
        <v>3644</v>
      </c>
      <c r="D710" s="1856" t="s">
        <v>3645</v>
      </c>
      <c r="E710" s="1856" t="s">
        <v>3646</v>
      </c>
      <c r="F710" s="1856" t="s">
        <v>2692</v>
      </c>
      <c r="G710" s="1856" t="s">
        <v>3647</v>
      </c>
      <c r="H710" s="1856" t="s">
        <v>28</v>
      </c>
      <c r="I710" s="1856" t="s">
        <v>943</v>
      </c>
    </row>
    <row customHeight="1" ht="11.25">
      <c r="A711" s="1856" t="s">
        <v>2288</v>
      </c>
      <c r="B711" s="1856" t="s">
        <v>16</v>
      </c>
      <c r="C711" s="1856" t="s">
        <v>3648</v>
      </c>
      <c r="D711" s="1856" t="s">
        <v>3649</v>
      </c>
      <c r="E711" s="1856" t="s">
        <v>3650</v>
      </c>
      <c r="F711" s="1856" t="s">
        <v>2328</v>
      </c>
      <c r="G711" s="1856" t="s">
        <v>3480</v>
      </c>
      <c r="H711" s="1856" t="s">
        <v>28</v>
      </c>
      <c r="I711" s="1856" t="s">
        <v>943</v>
      </c>
    </row>
    <row customHeight="1" ht="11.25">
      <c r="A712" s="1856" t="s">
        <v>2288</v>
      </c>
      <c r="B712" s="1856" t="s">
        <v>16</v>
      </c>
      <c r="C712" s="1856" t="s">
        <v>3651</v>
      </c>
      <c r="D712" s="1856" t="s">
        <v>3652</v>
      </c>
      <c r="E712" s="1856" t="s">
        <v>3653</v>
      </c>
      <c r="F712" s="1856" t="s">
        <v>2300</v>
      </c>
      <c r="G712" s="1856" t="s">
        <v>3654</v>
      </c>
      <c r="H712" s="1856" t="s">
        <v>28</v>
      </c>
      <c r="I712" s="1856" t="s">
        <v>943</v>
      </c>
    </row>
    <row customHeight="1" ht="11.25">
      <c r="A713" s="1856" t="s">
        <v>2288</v>
      </c>
      <c r="B713" s="1856" t="s">
        <v>16</v>
      </c>
      <c r="C713" s="1856" t="s">
        <v>3655</v>
      </c>
      <c r="D713" s="1856" t="s">
        <v>3656</v>
      </c>
      <c r="E713" s="1856" t="s">
        <v>3657</v>
      </c>
      <c r="F713" s="1856" t="s">
        <v>3121</v>
      </c>
      <c r="G713" s="1856" t="s">
        <v>3658</v>
      </c>
      <c r="H713" s="1856" t="s">
        <v>28</v>
      </c>
      <c r="I713" s="1856" t="s">
        <v>943</v>
      </c>
    </row>
    <row customHeight="1" ht="11.25">
      <c r="A714" s="1856" t="s">
        <v>2288</v>
      </c>
      <c r="B714" s="1856" t="s">
        <v>16</v>
      </c>
      <c r="C714" s="1856" t="s">
        <v>3659</v>
      </c>
      <c r="D714" s="1856" t="s">
        <v>3660</v>
      </c>
      <c r="E714" s="1856" t="s">
        <v>3661</v>
      </c>
      <c r="F714" s="1856" t="s">
        <v>3662</v>
      </c>
      <c r="G714" s="1856" t="s">
        <v>3663</v>
      </c>
      <c r="H714" s="1856" t="s">
        <v>28</v>
      </c>
      <c r="I714" s="1856" t="s">
        <v>943</v>
      </c>
    </row>
    <row customHeight="1" ht="11.25">
      <c r="A715" s="1856" t="s">
        <v>2288</v>
      </c>
      <c r="B715" s="1856" t="s">
        <v>16</v>
      </c>
      <c r="C715" s="1856" t="s">
        <v>3061</v>
      </c>
      <c r="D715" s="1856" t="s">
        <v>3062</v>
      </c>
      <c r="E715" s="1856" t="s">
        <v>3063</v>
      </c>
      <c r="F715" s="1856" t="s">
        <v>2840</v>
      </c>
      <c r="G715" s="1856" t="s">
        <v>3064</v>
      </c>
      <c r="H715" s="1856" t="s">
        <v>28</v>
      </c>
      <c r="I715" s="1856" t="s">
        <v>943</v>
      </c>
    </row>
    <row customHeight="1" ht="11.25">
      <c r="A716" s="1856" t="s">
        <v>2288</v>
      </c>
      <c r="B716" s="1856" t="s">
        <v>16</v>
      </c>
      <c r="C716" s="1856" t="s">
        <v>3664</v>
      </c>
      <c r="D716" s="1856" t="s">
        <v>3070</v>
      </c>
      <c r="E716" s="1856" t="s">
        <v>3665</v>
      </c>
      <c r="F716" s="1856" t="s">
        <v>2328</v>
      </c>
      <c r="G716" s="1856" t="s">
        <v>3472</v>
      </c>
      <c r="H716" s="1856" t="s">
        <v>28</v>
      </c>
      <c r="I716" s="1856" t="s">
        <v>943</v>
      </c>
    </row>
    <row customHeight="1" ht="11.25">
      <c r="A717" s="1856" t="s">
        <v>2288</v>
      </c>
      <c r="B717" s="1856" t="s">
        <v>16</v>
      </c>
      <c r="C717" s="1856" t="s">
        <v>3077</v>
      </c>
      <c r="D717" s="1856" t="s">
        <v>3078</v>
      </c>
      <c r="E717" s="1856" t="s">
        <v>3079</v>
      </c>
      <c r="F717" s="1856" t="s">
        <v>2300</v>
      </c>
      <c r="G717" s="1856" t="s">
        <v>3080</v>
      </c>
      <c r="H717" s="1856" t="s">
        <v>28</v>
      </c>
      <c r="I717" s="1856" t="s">
        <v>943</v>
      </c>
    </row>
    <row customHeight="1" ht="11.25">
      <c r="A718" s="1856" t="s">
        <v>2288</v>
      </c>
      <c r="B718" s="1856" t="s">
        <v>16</v>
      </c>
      <c r="C718" s="1856" t="s">
        <v>3666</v>
      </c>
      <c r="D718" s="1856" t="s">
        <v>3667</v>
      </c>
      <c r="E718" s="1856" t="s">
        <v>3668</v>
      </c>
      <c r="F718" s="1856" t="s">
        <v>2674</v>
      </c>
      <c r="G718" s="1856" t="s">
        <v>28</v>
      </c>
      <c r="H718" s="1856" t="s">
        <v>28</v>
      </c>
      <c r="I718" s="1856" t="s">
        <v>943</v>
      </c>
    </row>
    <row customHeight="1" ht="11.25">
      <c r="A719" s="1856" t="s">
        <v>2288</v>
      </c>
      <c r="B719" s="1856" t="s">
        <v>16</v>
      </c>
      <c r="C719" s="1856" t="s">
        <v>3669</v>
      </c>
      <c r="D719" s="1856" t="s">
        <v>3670</v>
      </c>
      <c r="E719" s="1856" t="s">
        <v>3671</v>
      </c>
      <c r="F719" s="1856" t="s">
        <v>3636</v>
      </c>
      <c r="G719" s="1856" t="s">
        <v>3672</v>
      </c>
      <c r="H719" s="1856" t="s">
        <v>28</v>
      </c>
      <c r="I719" s="1856" t="s">
        <v>943</v>
      </c>
    </row>
    <row customHeight="1" ht="11.25">
      <c r="A720" s="1856" t="s">
        <v>2288</v>
      </c>
      <c r="B720" s="1856" t="s">
        <v>16</v>
      </c>
      <c r="C720" s="1856" t="s">
        <v>3673</v>
      </c>
      <c r="D720" s="1856" t="s">
        <v>3674</v>
      </c>
      <c r="E720" s="1856" t="s">
        <v>3675</v>
      </c>
      <c r="F720" s="1856" t="s">
        <v>2300</v>
      </c>
      <c r="G720" s="1856" t="s">
        <v>3676</v>
      </c>
      <c r="H720" s="1856" t="s">
        <v>28</v>
      </c>
      <c r="I720" s="1856" t="s">
        <v>943</v>
      </c>
    </row>
    <row customHeight="1" ht="11.25">
      <c r="A721" s="1856" t="s">
        <v>2288</v>
      </c>
      <c r="B721" s="1856" t="s">
        <v>16</v>
      </c>
      <c r="C721" s="1856" t="s">
        <v>3114</v>
      </c>
      <c r="D721" s="1856" t="s">
        <v>3115</v>
      </c>
      <c r="E721" s="1856" t="s">
        <v>3116</v>
      </c>
      <c r="F721" s="1856" t="s">
        <v>2333</v>
      </c>
      <c r="G721" s="1856" t="s">
        <v>3117</v>
      </c>
      <c r="H721" s="1856" t="s">
        <v>28</v>
      </c>
      <c r="I721" s="1856" t="s">
        <v>943</v>
      </c>
    </row>
    <row customHeight="1" ht="11.25">
      <c r="A722" s="1856" t="s">
        <v>2288</v>
      </c>
      <c r="B722" s="1856" t="s">
        <v>16</v>
      </c>
      <c r="C722" s="1856" t="s">
        <v>3118</v>
      </c>
      <c r="D722" s="1856" t="s">
        <v>3119</v>
      </c>
      <c r="E722" s="1856" t="s">
        <v>3120</v>
      </c>
      <c r="F722" s="1856" t="s">
        <v>3121</v>
      </c>
      <c r="G722" s="1856" t="s">
        <v>28</v>
      </c>
      <c r="H722" s="1856" t="s">
        <v>28</v>
      </c>
      <c r="I722" s="1856" t="s">
        <v>943</v>
      </c>
    </row>
    <row customHeight="1" ht="11.25">
      <c r="A723" s="1856" t="s">
        <v>2288</v>
      </c>
      <c r="B723" s="1856" t="s">
        <v>16</v>
      </c>
      <c r="C723" s="1856" t="s">
        <v>3421</v>
      </c>
      <c r="D723" s="1856" t="s">
        <v>3422</v>
      </c>
      <c r="E723" s="1856" t="s">
        <v>3423</v>
      </c>
      <c r="F723" s="1856" t="s">
        <v>2651</v>
      </c>
      <c r="G723" s="1856" t="s">
        <v>3424</v>
      </c>
      <c r="H723" s="1856" t="s">
        <v>28</v>
      </c>
      <c r="I723" s="1856" t="s">
        <v>943</v>
      </c>
    </row>
    <row customHeight="1" ht="11.25">
      <c r="A724" s="1856" t="s">
        <v>2288</v>
      </c>
      <c r="B724" s="1856" t="s">
        <v>16</v>
      </c>
      <c r="C724" s="1856" t="s">
        <v>3677</v>
      </c>
      <c r="D724" s="1856" t="s">
        <v>3678</v>
      </c>
      <c r="E724" s="1856" t="s">
        <v>3679</v>
      </c>
      <c r="F724" s="1856" t="s">
        <v>3031</v>
      </c>
      <c r="G724" s="1856" t="s">
        <v>3680</v>
      </c>
      <c r="H724" s="1856" t="s">
        <v>28</v>
      </c>
      <c r="I724" s="1856" t="s">
        <v>943</v>
      </c>
    </row>
    <row customHeight="1" ht="11.25">
      <c r="A725" s="1856" t="s">
        <v>2288</v>
      </c>
      <c r="B725" s="1856" t="s">
        <v>16</v>
      </c>
      <c r="C725" s="1856" t="s">
        <v>3134</v>
      </c>
      <c r="D725" s="1856" t="s">
        <v>3135</v>
      </c>
      <c r="E725" s="1856" t="s">
        <v>3136</v>
      </c>
      <c r="F725" s="1856" t="s">
        <v>3108</v>
      </c>
      <c r="G725" s="1856" t="s">
        <v>3137</v>
      </c>
      <c r="H725" s="1856" t="s">
        <v>28</v>
      </c>
      <c r="I725" s="1856" t="s">
        <v>943</v>
      </c>
    </row>
    <row customHeight="1" ht="11.25">
      <c r="A726" s="1856" t="s">
        <v>2288</v>
      </c>
      <c r="B726" s="1856" t="s">
        <v>16</v>
      </c>
      <c r="C726" s="1856" t="s">
        <v>3681</v>
      </c>
      <c r="D726" s="1856" t="s">
        <v>3682</v>
      </c>
      <c r="E726" s="1856" t="s">
        <v>3683</v>
      </c>
      <c r="F726" s="1856" t="s">
        <v>2646</v>
      </c>
      <c r="G726" s="1856" t="s">
        <v>3480</v>
      </c>
      <c r="H726" s="1856" t="s">
        <v>28</v>
      </c>
      <c r="I726" s="1856" t="s">
        <v>943</v>
      </c>
    </row>
    <row customHeight="1" ht="11.25">
      <c r="A727" s="1856" t="s">
        <v>2288</v>
      </c>
      <c r="B727" s="1856" t="s">
        <v>16</v>
      </c>
      <c r="C727" s="1856" t="s">
        <v>3142</v>
      </c>
      <c r="D727" s="1856" t="s">
        <v>3143</v>
      </c>
      <c r="E727" s="1856" t="s">
        <v>3144</v>
      </c>
      <c r="F727" s="1856" t="s">
        <v>2300</v>
      </c>
      <c r="G727" s="1856" t="s">
        <v>3145</v>
      </c>
      <c r="H727" s="1856" t="s">
        <v>28</v>
      </c>
      <c r="I727" s="1856" t="s">
        <v>943</v>
      </c>
    </row>
    <row customHeight="1" ht="11.25">
      <c r="A728" s="1856" t="s">
        <v>2288</v>
      </c>
      <c r="B728" s="1856" t="s">
        <v>16</v>
      </c>
      <c r="C728" s="1856" t="s">
        <v>3684</v>
      </c>
      <c r="D728" s="1856" t="s">
        <v>3685</v>
      </c>
      <c r="E728" s="1856" t="s">
        <v>3686</v>
      </c>
      <c r="F728" s="1856" t="s">
        <v>2300</v>
      </c>
      <c r="G728" s="1856" t="s">
        <v>3687</v>
      </c>
      <c r="H728" s="1856" t="s">
        <v>28</v>
      </c>
      <c r="I728" s="1856" t="s">
        <v>943</v>
      </c>
    </row>
    <row customHeight="1" ht="11.25">
      <c r="A729" s="1856" t="s">
        <v>2288</v>
      </c>
      <c r="B729" s="1856" t="s">
        <v>16</v>
      </c>
      <c r="C729" s="1856" t="s">
        <v>3150</v>
      </c>
      <c r="D729" s="1856" t="s">
        <v>3151</v>
      </c>
      <c r="E729" s="1856" t="s">
        <v>3152</v>
      </c>
      <c r="F729" s="1856" t="s">
        <v>2400</v>
      </c>
      <c r="G729" s="1856" t="s">
        <v>3153</v>
      </c>
      <c r="H729" s="1856" t="s">
        <v>28</v>
      </c>
      <c r="I729" s="1856" t="s">
        <v>943</v>
      </c>
    </row>
    <row customHeight="1" ht="11.25">
      <c r="A730" s="1856" t="s">
        <v>2288</v>
      </c>
      <c r="B730" s="1856" t="s">
        <v>16</v>
      </c>
      <c r="C730" s="1856" t="s">
        <v>3688</v>
      </c>
      <c r="D730" s="1856" t="s">
        <v>3689</v>
      </c>
      <c r="E730" s="1856" t="s">
        <v>3690</v>
      </c>
      <c r="F730" s="1856" t="s">
        <v>2646</v>
      </c>
      <c r="G730" s="1856" t="s">
        <v>3691</v>
      </c>
      <c r="H730" s="1856" t="s">
        <v>28</v>
      </c>
      <c r="I730" s="1856" t="s">
        <v>943</v>
      </c>
    </row>
    <row customHeight="1" ht="11.25">
      <c r="A731" s="1856" t="s">
        <v>2288</v>
      </c>
      <c r="B731" s="1856" t="s">
        <v>16</v>
      </c>
      <c r="C731" s="1856" t="s">
        <v>3692</v>
      </c>
      <c r="D731" s="1856" t="s">
        <v>3693</v>
      </c>
      <c r="E731" s="1856" t="s">
        <v>3694</v>
      </c>
      <c r="F731" s="1856" t="s">
        <v>2319</v>
      </c>
      <c r="G731" s="1856" t="s">
        <v>3695</v>
      </c>
      <c r="H731" s="1856" t="s">
        <v>28</v>
      </c>
      <c r="I731" s="1856" t="s">
        <v>943</v>
      </c>
    </row>
    <row customHeight="1" ht="11.25">
      <c r="A732" s="1856" t="s">
        <v>2288</v>
      </c>
      <c r="B732" s="1856" t="s">
        <v>16</v>
      </c>
      <c r="C732" s="1856" t="s">
        <v>3425</v>
      </c>
      <c r="D732" s="1856" t="s">
        <v>3426</v>
      </c>
      <c r="E732" s="1856" t="s">
        <v>3427</v>
      </c>
      <c r="F732" s="1856" t="s">
        <v>2333</v>
      </c>
      <c r="G732" s="1856" t="s">
        <v>3428</v>
      </c>
      <c r="H732" s="1856" t="s">
        <v>28</v>
      </c>
      <c r="I732" s="1856" t="s">
        <v>943</v>
      </c>
    </row>
    <row customHeight="1" ht="11.25">
      <c r="A733" s="1856" t="s">
        <v>2288</v>
      </c>
      <c r="B733" s="1856" t="s">
        <v>16</v>
      </c>
      <c r="C733" s="1856" t="s">
        <v>3696</v>
      </c>
      <c r="D733" s="1856" t="s">
        <v>3697</v>
      </c>
      <c r="E733" s="1856" t="s">
        <v>3698</v>
      </c>
      <c r="F733" s="1856" t="s">
        <v>3031</v>
      </c>
      <c r="G733" s="1856" t="s">
        <v>3559</v>
      </c>
      <c r="H733" s="1856" t="s">
        <v>28</v>
      </c>
      <c r="I733" s="1856" t="s">
        <v>943</v>
      </c>
    </row>
    <row customHeight="1" ht="11.25">
      <c r="A734" s="1856" t="s">
        <v>2288</v>
      </c>
      <c r="B734" s="1856" t="s">
        <v>16</v>
      </c>
      <c r="C734" s="1856" t="s">
        <v>3217</v>
      </c>
      <c r="D734" s="1856" t="s">
        <v>3218</v>
      </c>
      <c r="E734" s="1856" t="s">
        <v>3219</v>
      </c>
      <c r="F734" s="1856" t="s">
        <v>2665</v>
      </c>
      <c r="G734" s="1856" t="s">
        <v>3220</v>
      </c>
      <c r="H734" s="1856" t="s">
        <v>28</v>
      </c>
      <c r="I734" s="1856" t="s">
        <v>943</v>
      </c>
    </row>
    <row customHeight="1" ht="11.25">
      <c r="A735" s="1856" t="s">
        <v>2288</v>
      </c>
      <c r="B735" s="1856" t="s">
        <v>16</v>
      </c>
      <c r="C735" s="1856" t="s">
        <v>3221</v>
      </c>
      <c r="D735" s="1856" t="s">
        <v>3222</v>
      </c>
      <c r="E735" s="1856" t="s">
        <v>3214</v>
      </c>
      <c r="F735" s="1856" t="s">
        <v>2483</v>
      </c>
      <c r="G735" s="1856" t="s">
        <v>3223</v>
      </c>
      <c r="H735" s="1856" t="s">
        <v>28</v>
      </c>
      <c r="I735" s="1856" t="s">
        <v>943</v>
      </c>
    </row>
    <row customHeight="1" ht="11.25">
      <c r="A736" s="1856" t="s">
        <v>2288</v>
      </c>
      <c r="B736" s="1856" t="s">
        <v>16</v>
      </c>
      <c r="C736" s="1856" t="s">
        <v>3436</v>
      </c>
      <c r="D736" s="1856" t="s">
        <v>3437</v>
      </c>
      <c r="E736" s="1856" t="s">
        <v>3330</v>
      </c>
      <c r="F736" s="1856" t="s">
        <v>3438</v>
      </c>
      <c r="G736" s="1856" t="s">
        <v>3439</v>
      </c>
      <c r="H736" s="1856" t="s">
        <v>28</v>
      </c>
      <c r="I736" s="1856" t="s">
        <v>943</v>
      </c>
    </row>
    <row customHeight="1" ht="11.25">
      <c r="A737" s="1856" t="s">
        <v>2288</v>
      </c>
      <c r="B737" s="1856" t="s">
        <v>16</v>
      </c>
      <c r="C737" s="1856" t="s">
        <v>3224</v>
      </c>
      <c r="D737" s="1856" t="s">
        <v>3225</v>
      </c>
      <c r="E737" s="1856" t="s">
        <v>2425</v>
      </c>
      <c r="F737" s="1856" t="s">
        <v>3226</v>
      </c>
      <c r="G737" s="1856" t="s">
        <v>2436</v>
      </c>
      <c r="H737" s="1856" t="s">
        <v>28</v>
      </c>
      <c r="I737" s="1856" t="s">
        <v>943</v>
      </c>
    </row>
    <row customHeight="1" ht="11.25">
      <c r="A738" s="1856" t="s">
        <v>2288</v>
      </c>
      <c r="B738" s="1856" t="s">
        <v>16</v>
      </c>
      <c r="C738" s="1856" t="s">
        <v>3237</v>
      </c>
      <c r="D738" s="1856" t="s">
        <v>3238</v>
      </c>
      <c r="E738" s="1856" t="s">
        <v>2547</v>
      </c>
      <c r="F738" s="1856" t="s">
        <v>3239</v>
      </c>
      <c r="G738" s="1856" t="s">
        <v>3240</v>
      </c>
      <c r="H738" s="1856" t="s">
        <v>28</v>
      </c>
      <c r="I738" s="1856" t="s">
        <v>943</v>
      </c>
    </row>
    <row customHeight="1" ht="11.25">
      <c r="A739" s="1856" t="s">
        <v>2288</v>
      </c>
      <c r="B739" s="1856" t="s">
        <v>16</v>
      </c>
      <c r="C739" s="1856" t="s">
        <v>3247</v>
      </c>
      <c r="D739" s="1856" t="s">
        <v>3248</v>
      </c>
      <c r="E739" s="1856" t="s">
        <v>3243</v>
      </c>
      <c r="F739" s="1856" t="s">
        <v>3249</v>
      </c>
      <c r="G739" s="1856" t="s">
        <v>28</v>
      </c>
      <c r="H739" s="1856" t="s">
        <v>28</v>
      </c>
      <c r="I739" s="1856" t="s">
        <v>943</v>
      </c>
    </row>
    <row customHeight="1" ht="11.25">
      <c r="A740" s="1856" t="s">
        <v>2288</v>
      </c>
      <c r="B740" s="1856" t="s">
        <v>16</v>
      </c>
      <c r="C740" s="1856" t="s">
        <v>3699</v>
      </c>
      <c r="D740" s="1856" t="s">
        <v>3700</v>
      </c>
      <c r="E740" s="1856" t="s">
        <v>3701</v>
      </c>
      <c r="F740" s="1856" t="s">
        <v>2300</v>
      </c>
      <c r="G740" s="1856" t="s">
        <v>3702</v>
      </c>
      <c r="H740" s="1856" t="s">
        <v>28</v>
      </c>
      <c r="I740" s="1856" t="s">
        <v>943</v>
      </c>
    </row>
    <row customHeight="1" ht="11.25">
      <c r="A741" s="1856" t="s">
        <v>2288</v>
      </c>
      <c r="B741" s="1856" t="s">
        <v>16</v>
      </c>
      <c r="C741" s="1856" t="s">
        <v>3440</v>
      </c>
      <c r="D741" s="1856" t="s">
        <v>3441</v>
      </c>
      <c r="E741" s="1856" t="s">
        <v>3442</v>
      </c>
      <c r="F741" s="1856" t="s">
        <v>3249</v>
      </c>
      <c r="G741" s="1856" t="s">
        <v>28</v>
      </c>
      <c r="H741" s="1856" t="s">
        <v>28</v>
      </c>
      <c r="I741" s="1856" t="s">
        <v>943</v>
      </c>
    </row>
    <row customHeight="1" ht="11.25">
      <c r="A742" s="1856" t="s">
        <v>2288</v>
      </c>
      <c r="B742" s="1856" t="s">
        <v>16</v>
      </c>
      <c r="C742" s="1856" t="s">
        <v>2316</v>
      </c>
      <c r="D742" s="1856" t="s">
        <v>2317</v>
      </c>
      <c r="E742" s="1856" t="s">
        <v>2318</v>
      </c>
      <c r="F742" s="1856" t="s">
        <v>2319</v>
      </c>
      <c r="G742" s="1856" t="s">
        <v>2320</v>
      </c>
      <c r="H742" s="1856" t="s">
        <v>28</v>
      </c>
      <c r="I742" s="1856" t="s">
        <v>1660</v>
      </c>
    </row>
    <row customHeight="1" ht="11.25">
      <c r="A743" s="1856" t="s">
        <v>2288</v>
      </c>
      <c r="B743" s="1856" t="s">
        <v>16</v>
      </c>
      <c r="C743" s="1856" t="s">
        <v>28</v>
      </c>
      <c r="D743" s="1856" t="s">
        <v>2453</v>
      </c>
      <c r="E743" s="1856" t="s">
        <v>2454</v>
      </c>
      <c r="F743" s="1856" t="s">
        <v>2300</v>
      </c>
      <c r="G743" s="1856" t="s">
        <v>28</v>
      </c>
      <c r="H743" s="1856" t="s">
        <v>28</v>
      </c>
      <c r="I743" s="1856" t="s">
        <v>1660</v>
      </c>
    </row>
    <row customHeight="1" ht="11.25">
      <c r="A744" s="1856" t="s">
        <v>2288</v>
      </c>
      <c r="B744" s="1856" t="s">
        <v>16</v>
      </c>
      <c r="C744" s="1856" t="s">
        <v>2455</v>
      </c>
      <c r="D744" s="1856" t="s">
        <v>2456</v>
      </c>
      <c r="E744" s="1856" t="s">
        <v>2457</v>
      </c>
      <c r="F744" s="1856" t="s">
        <v>2300</v>
      </c>
      <c r="G744" s="1856" t="s">
        <v>2458</v>
      </c>
      <c r="H744" s="1856" t="s">
        <v>28</v>
      </c>
      <c r="I744" s="1856" t="s">
        <v>1660</v>
      </c>
    </row>
    <row customHeight="1" ht="11.25">
      <c r="A745" s="1856" t="s">
        <v>2288</v>
      </c>
      <c r="B745" s="1856" t="s">
        <v>16</v>
      </c>
      <c r="C745" s="1856" t="s">
        <v>3703</v>
      </c>
      <c r="D745" s="1856" t="s">
        <v>3704</v>
      </c>
      <c r="E745" s="1856" t="s">
        <v>3705</v>
      </c>
      <c r="F745" s="1856" t="s">
        <v>612</v>
      </c>
      <c r="G745" s="1856" t="s">
        <v>3706</v>
      </c>
      <c r="H745" s="1856" t="s">
        <v>28</v>
      </c>
      <c r="I745" s="1856" t="s">
        <v>1660</v>
      </c>
    </row>
    <row customHeight="1" ht="11.25">
      <c r="A746" s="1856" t="s">
        <v>2288</v>
      </c>
      <c r="B746" s="1856" t="s">
        <v>16</v>
      </c>
      <c r="C746" s="1856" t="s">
        <v>3481</v>
      </c>
      <c r="D746" s="1856" t="s">
        <v>3482</v>
      </c>
      <c r="E746" s="1856" t="s">
        <v>3483</v>
      </c>
      <c r="F746" s="1856" t="s">
        <v>612</v>
      </c>
      <c r="G746" s="1856" t="s">
        <v>2432</v>
      </c>
      <c r="H746" s="1856" t="s">
        <v>28</v>
      </c>
      <c r="I746" s="1856" t="s">
        <v>1660</v>
      </c>
    </row>
    <row customHeight="1" ht="11.25">
      <c r="A747" s="1856" t="s">
        <v>2288</v>
      </c>
      <c r="B747" s="1856" t="s">
        <v>16</v>
      </c>
      <c r="C747" s="1856" t="s">
        <v>3707</v>
      </c>
      <c r="D747" s="1856" t="s">
        <v>3708</v>
      </c>
      <c r="E747" s="1856" t="s">
        <v>3709</v>
      </c>
      <c r="F747" s="1856" t="s">
        <v>612</v>
      </c>
      <c r="G747" s="1856" t="s">
        <v>3710</v>
      </c>
      <c r="H747" s="1856" t="s">
        <v>28</v>
      </c>
      <c r="I747" s="1856" t="s">
        <v>1660</v>
      </c>
    </row>
    <row customHeight="1" ht="11.25">
      <c r="A748" s="1856" t="s">
        <v>2288</v>
      </c>
      <c r="B748" s="1856" t="s">
        <v>16</v>
      </c>
      <c r="C748" s="1856" t="s">
        <v>3711</v>
      </c>
      <c r="D748" s="1856" t="s">
        <v>3712</v>
      </c>
      <c r="E748" s="1856" t="s">
        <v>3713</v>
      </c>
      <c r="F748" s="1856" t="s">
        <v>2328</v>
      </c>
      <c r="G748" s="1856" t="s">
        <v>3714</v>
      </c>
      <c r="H748" s="1856" t="s">
        <v>28</v>
      </c>
      <c r="I748" s="1856" t="s">
        <v>1660</v>
      </c>
    </row>
    <row customHeight="1" ht="11.25">
      <c r="A749" s="1856" t="s">
        <v>2288</v>
      </c>
      <c r="B749" s="1856" t="s">
        <v>16</v>
      </c>
      <c r="C749" s="1856" t="s">
        <v>2658</v>
      </c>
      <c r="D749" s="1856" t="s">
        <v>2659</v>
      </c>
      <c r="E749" s="1856" t="s">
        <v>2660</v>
      </c>
      <c r="F749" s="1856" t="s">
        <v>2333</v>
      </c>
      <c r="G749" s="1856" t="s">
        <v>2661</v>
      </c>
      <c r="H749" s="1856" t="s">
        <v>28</v>
      </c>
      <c r="I749" s="1856" t="s">
        <v>1660</v>
      </c>
    </row>
    <row customHeight="1" ht="11.25">
      <c r="A750" s="1856" t="s">
        <v>2288</v>
      </c>
      <c r="B750" s="1856" t="s">
        <v>16</v>
      </c>
      <c r="C750" s="1856" t="s">
        <v>3715</v>
      </c>
      <c r="D750" s="1856" t="s">
        <v>3716</v>
      </c>
      <c r="E750" s="1856" t="s">
        <v>3717</v>
      </c>
      <c r="F750" s="1856" t="s">
        <v>3718</v>
      </c>
      <c r="G750" s="1856" t="s">
        <v>3719</v>
      </c>
      <c r="H750" s="1856" t="s">
        <v>28</v>
      </c>
      <c r="I750" s="1856" t="s">
        <v>1660</v>
      </c>
    </row>
    <row customHeight="1" ht="11.25">
      <c r="A751" s="1856" t="s">
        <v>2288</v>
      </c>
      <c r="B751" s="1856" t="s">
        <v>16</v>
      </c>
      <c r="C751" s="1856" t="s">
        <v>3720</v>
      </c>
      <c r="D751" s="1856" t="s">
        <v>3721</v>
      </c>
      <c r="E751" s="1856" t="s">
        <v>3722</v>
      </c>
      <c r="F751" s="1856" t="s">
        <v>2300</v>
      </c>
      <c r="G751" s="1856" t="s">
        <v>3723</v>
      </c>
      <c r="H751" s="1856" t="s">
        <v>28</v>
      </c>
      <c r="I751" s="1856" t="s">
        <v>1660</v>
      </c>
    </row>
    <row customHeight="1" ht="11.25">
      <c r="A752" s="1856" t="s">
        <v>2288</v>
      </c>
      <c r="B752" s="1856" t="s">
        <v>16</v>
      </c>
      <c r="C752" s="1856" t="s">
        <v>2671</v>
      </c>
      <c r="D752" s="1856" t="s">
        <v>2672</v>
      </c>
      <c r="E752" s="1856" t="s">
        <v>2673</v>
      </c>
      <c r="F752" s="1856" t="s">
        <v>2674</v>
      </c>
      <c r="G752" s="1856" t="s">
        <v>2675</v>
      </c>
      <c r="H752" s="1856" t="s">
        <v>28</v>
      </c>
      <c r="I752" s="1856" t="s">
        <v>1660</v>
      </c>
    </row>
    <row customHeight="1" ht="11.25">
      <c r="A753" s="1856" t="s">
        <v>2288</v>
      </c>
      <c r="B753" s="1856" t="s">
        <v>16</v>
      </c>
      <c r="C753" s="1856" t="s">
        <v>3303</v>
      </c>
      <c r="D753" s="1856" t="s">
        <v>3304</v>
      </c>
      <c r="E753" s="1856" t="s">
        <v>3305</v>
      </c>
      <c r="F753" s="1856" t="s">
        <v>3306</v>
      </c>
      <c r="G753" s="1856" t="s">
        <v>2995</v>
      </c>
      <c r="H753" s="1856" t="s">
        <v>28</v>
      </c>
      <c r="I753" s="1856" t="s">
        <v>1660</v>
      </c>
    </row>
    <row customHeight="1" ht="11.25">
      <c r="A754" s="1856" t="s">
        <v>2288</v>
      </c>
      <c r="B754" s="1856" t="s">
        <v>16</v>
      </c>
      <c r="C754" s="1856" t="s">
        <v>3724</v>
      </c>
      <c r="D754" s="1856" t="s">
        <v>3725</v>
      </c>
      <c r="E754" s="1856" t="s">
        <v>3726</v>
      </c>
      <c r="F754" s="1856" t="s">
        <v>2840</v>
      </c>
      <c r="G754" s="1856" t="s">
        <v>3727</v>
      </c>
      <c r="H754" s="1856" t="s">
        <v>28</v>
      </c>
      <c r="I754" s="1856" t="s">
        <v>1660</v>
      </c>
    </row>
    <row customHeight="1" ht="11.25">
      <c r="A755" s="1856" t="s">
        <v>2288</v>
      </c>
      <c r="B755" s="1856" t="s">
        <v>16</v>
      </c>
      <c r="C755" s="1856" t="s">
        <v>3728</v>
      </c>
      <c r="D755" s="1856" t="s">
        <v>3729</v>
      </c>
      <c r="E755" s="1856" t="s">
        <v>3730</v>
      </c>
      <c r="F755" s="1856" t="s">
        <v>2651</v>
      </c>
      <c r="G755" s="1856" t="s">
        <v>3731</v>
      </c>
      <c r="H755" s="1856" t="s">
        <v>28</v>
      </c>
      <c r="I755" s="1856" t="s">
        <v>1660</v>
      </c>
    </row>
    <row customHeight="1" ht="11.25">
      <c r="A756" s="1856" t="s">
        <v>2288</v>
      </c>
      <c r="B756" s="1856" t="s">
        <v>16</v>
      </c>
      <c r="C756" s="1856" t="s">
        <v>3732</v>
      </c>
      <c r="D756" s="1856" t="s">
        <v>3733</v>
      </c>
      <c r="E756" s="1856" t="s">
        <v>3734</v>
      </c>
      <c r="F756" s="1856" t="s">
        <v>2400</v>
      </c>
      <c r="G756" s="1856" t="s">
        <v>28</v>
      </c>
      <c r="H756" s="1856" t="s">
        <v>28</v>
      </c>
      <c r="I756" s="1856" t="s">
        <v>1660</v>
      </c>
    </row>
    <row customHeight="1" ht="11.25">
      <c r="A757" s="1856" t="s">
        <v>2288</v>
      </c>
      <c r="B757" s="1856" t="s">
        <v>16</v>
      </c>
      <c r="C757" s="1856" t="s">
        <v>3735</v>
      </c>
      <c r="D757" s="1856" t="s">
        <v>3736</v>
      </c>
      <c r="E757" s="1856" t="s">
        <v>3737</v>
      </c>
      <c r="F757" s="1856" t="s">
        <v>2674</v>
      </c>
      <c r="G757" s="1856" t="s">
        <v>3738</v>
      </c>
      <c r="H757" s="1856" t="s">
        <v>28</v>
      </c>
      <c r="I757" s="1856" t="s">
        <v>1660</v>
      </c>
    </row>
    <row customHeight="1" ht="11.25">
      <c r="A758" s="1856" t="s">
        <v>2288</v>
      </c>
      <c r="B758" s="1856" t="s">
        <v>16</v>
      </c>
      <c r="C758" s="1856" t="s">
        <v>3495</v>
      </c>
      <c r="D758" s="1856" t="s">
        <v>3496</v>
      </c>
      <c r="E758" s="1856" t="s">
        <v>3497</v>
      </c>
      <c r="F758" s="1856" t="s">
        <v>3498</v>
      </c>
      <c r="G758" s="1856" t="s">
        <v>3499</v>
      </c>
      <c r="H758" s="1856" t="s">
        <v>28</v>
      </c>
      <c r="I758" s="1856" t="s">
        <v>1660</v>
      </c>
    </row>
    <row customHeight="1" ht="11.25">
      <c r="A759" s="1856" t="s">
        <v>2288</v>
      </c>
      <c r="B759" s="1856" t="s">
        <v>16</v>
      </c>
      <c r="C759" s="1856" t="s">
        <v>2694</v>
      </c>
      <c r="D759" s="1856" t="s">
        <v>2695</v>
      </c>
      <c r="E759" s="1856" t="s">
        <v>2696</v>
      </c>
      <c r="F759" s="1856" t="s">
        <v>2300</v>
      </c>
      <c r="G759" s="1856" t="s">
        <v>2697</v>
      </c>
      <c r="H759" s="1856" t="s">
        <v>28</v>
      </c>
      <c r="I759" s="1856" t="s">
        <v>1660</v>
      </c>
    </row>
    <row customHeight="1" ht="11.25">
      <c r="A760" s="1856" t="s">
        <v>2288</v>
      </c>
      <c r="B760" s="1856" t="s">
        <v>16</v>
      </c>
      <c r="C760" s="1856" t="s">
        <v>3516</v>
      </c>
      <c r="D760" s="1856" t="s">
        <v>3517</v>
      </c>
      <c r="E760" s="1856" t="s">
        <v>3518</v>
      </c>
      <c r="F760" s="1856" t="s">
        <v>3031</v>
      </c>
      <c r="G760" s="1856" t="s">
        <v>3519</v>
      </c>
      <c r="H760" s="1856" t="s">
        <v>28</v>
      </c>
      <c r="I760" s="1856" t="s">
        <v>1660</v>
      </c>
    </row>
    <row customHeight="1" ht="11.25">
      <c r="A761" s="1856" t="s">
        <v>2288</v>
      </c>
      <c r="B761" s="1856" t="s">
        <v>16</v>
      </c>
      <c r="C761" s="1856" t="s">
        <v>2718</v>
      </c>
      <c r="D761" s="1856" t="s">
        <v>2719</v>
      </c>
      <c r="E761" s="1856" t="s">
        <v>2720</v>
      </c>
      <c r="F761" s="1856" t="s">
        <v>2400</v>
      </c>
      <c r="G761" s="1856" t="s">
        <v>2721</v>
      </c>
      <c r="H761" s="1856" t="s">
        <v>28</v>
      </c>
      <c r="I761" s="1856" t="s">
        <v>1660</v>
      </c>
    </row>
    <row customHeight="1" ht="11.25">
      <c r="A762" s="1856" t="s">
        <v>2288</v>
      </c>
      <c r="B762" s="1856" t="s">
        <v>16</v>
      </c>
      <c r="C762" s="1856" t="s">
        <v>3739</v>
      </c>
      <c r="D762" s="1856" t="s">
        <v>3740</v>
      </c>
      <c r="E762" s="1856" t="s">
        <v>3741</v>
      </c>
      <c r="F762" s="1856" t="s">
        <v>3326</v>
      </c>
      <c r="G762" s="1856" t="s">
        <v>3742</v>
      </c>
      <c r="H762" s="1856" t="s">
        <v>28</v>
      </c>
      <c r="I762" s="1856" t="s">
        <v>1660</v>
      </c>
    </row>
    <row customHeight="1" ht="11.25">
      <c r="A763" s="1856" t="s">
        <v>2288</v>
      </c>
      <c r="B763" s="1856" t="s">
        <v>16</v>
      </c>
      <c r="C763" s="1856" t="s">
        <v>2773</v>
      </c>
      <c r="D763" s="1856" t="s">
        <v>2774</v>
      </c>
      <c r="E763" s="1856" t="s">
        <v>2775</v>
      </c>
      <c r="F763" s="1856" t="s">
        <v>2656</v>
      </c>
      <c r="G763" s="1856" t="s">
        <v>2776</v>
      </c>
      <c r="H763" s="1856" t="s">
        <v>28</v>
      </c>
      <c r="I763" s="1856" t="s">
        <v>1660</v>
      </c>
    </row>
    <row customHeight="1" ht="11.25">
      <c r="A764" s="1856" t="s">
        <v>2288</v>
      </c>
      <c r="B764" s="1856" t="s">
        <v>16</v>
      </c>
      <c r="C764" s="1856" t="s">
        <v>3743</v>
      </c>
      <c r="D764" s="1856" t="s">
        <v>3744</v>
      </c>
      <c r="E764" s="1856" t="s">
        <v>3745</v>
      </c>
      <c r="F764" s="1856" t="s">
        <v>2687</v>
      </c>
      <c r="G764" s="1856" t="s">
        <v>3746</v>
      </c>
      <c r="H764" s="1856" t="s">
        <v>28</v>
      </c>
      <c r="I764" s="1856" t="s">
        <v>1660</v>
      </c>
    </row>
    <row customHeight="1" ht="11.25">
      <c r="A765" s="1856" t="s">
        <v>2288</v>
      </c>
      <c r="B765" s="1856" t="s">
        <v>16</v>
      </c>
      <c r="C765" s="1856" t="s">
        <v>2821</v>
      </c>
      <c r="D765" s="1856" t="s">
        <v>2822</v>
      </c>
      <c r="E765" s="1856" t="s">
        <v>2823</v>
      </c>
      <c r="F765" s="1856" t="s">
        <v>2692</v>
      </c>
      <c r="G765" s="1856" t="s">
        <v>2824</v>
      </c>
      <c r="H765" s="1856" t="s">
        <v>28</v>
      </c>
      <c r="I765" s="1856" t="s">
        <v>1660</v>
      </c>
    </row>
    <row customHeight="1" ht="11.25">
      <c r="A766" s="1856" t="s">
        <v>2288</v>
      </c>
      <c r="B766" s="1856" t="s">
        <v>16</v>
      </c>
      <c r="C766" s="1856" t="s">
        <v>3567</v>
      </c>
      <c r="D766" s="1856" t="s">
        <v>3568</v>
      </c>
      <c r="E766" s="1856" t="s">
        <v>3569</v>
      </c>
      <c r="F766" s="1856" t="s">
        <v>2888</v>
      </c>
      <c r="G766" s="1856" t="s">
        <v>3536</v>
      </c>
      <c r="H766" s="1856" t="s">
        <v>28</v>
      </c>
      <c r="I766" s="1856" t="s">
        <v>1660</v>
      </c>
    </row>
    <row customHeight="1" ht="11.25">
      <c r="A767" s="1856" t="s">
        <v>2288</v>
      </c>
      <c r="B767" s="1856" t="s">
        <v>16</v>
      </c>
      <c r="C767" s="1856" t="s">
        <v>3747</v>
      </c>
      <c r="D767" s="1856" t="s">
        <v>3748</v>
      </c>
      <c r="E767" s="1856" t="s">
        <v>3749</v>
      </c>
      <c r="F767" s="1856" t="s">
        <v>2674</v>
      </c>
      <c r="G767" s="1856" t="s">
        <v>3750</v>
      </c>
      <c r="H767" s="1856" t="s">
        <v>28</v>
      </c>
      <c r="I767" s="1856" t="s">
        <v>1660</v>
      </c>
    </row>
    <row customHeight="1" ht="11.25">
      <c r="A768" s="1856" t="s">
        <v>2288</v>
      </c>
      <c r="B768" s="1856" t="s">
        <v>16</v>
      </c>
      <c r="C768" s="1856" t="s">
        <v>3751</v>
      </c>
      <c r="D768" s="1856" t="s">
        <v>3752</v>
      </c>
      <c r="E768" s="1856" t="s">
        <v>3753</v>
      </c>
      <c r="F768" s="1856" t="s">
        <v>2300</v>
      </c>
      <c r="G768" s="1856" t="s">
        <v>3754</v>
      </c>
      <c r="H768" s="1856" t="s">
        <v>28</v>
      </c>
      <c r="I768" s="1856" t="s">
        <v>1660</v>
      </c>
    </row>
    <row customHeight="1" ht="11.25">
      <c r="A769" s="1856" t="s">
        <v>2288</v>
      </c>
      <c r="B769" s="1856" t="s">
        <v>16</v>
      </c>
      <c r="C769" s="1856" t="s">
        <v>3589</v>
      </c>
      <c r="D769" s="1856" t="s">
        <v>3590</v>
      </c>
      <c r="E769" s="1856" t="s">
        <v>3591</v>
      </c>
      <c r="F769" s="1856" t="s">
        <v>2300</v>
      </c>
      <c r="G769" s="1856" t="s">
        <v>3592</v>
      </c>
      <c r="H769" s="1856" t="s">
        <v>28</v>
      </c>
      <c r="I769" s="1856" t="s">
        <v>1660</v>
      </c>
    </row>
    <row customHeight="1" ht="11.25">
      <c r="A770" s="1856" t="s">
        <v>2288</v>
      </c>
      <c r="B770" s="1856" t="s">
        <v>16</v>
      </c>
      <c r="C770" s="1856" t="s">
        <v>3755</v>
      </c>
      <c r="D770" s="1856" t="s">
        <v>3756</v>
      </c>
      <c r="E770" s="1856" t="s">
        <v>3757</v>
      </c>
      <c r="F770" s="1856" t="s">
        <v>2646</v>
      </c>
      <c r="G770" s="1856" t="s">
        <v>3758</v>
      </c>
      <c r="H770" s="1856" t="s">
        <v>28</v>
      </c>
      <c r="I770" s="1856" t="s">
        <v>1660</v>
      </c>
    </row>
    <row customHeight="1" ht="11.25">
      <c r="A771" s="1856" t="s">
        <v>2288</v>
      </c>
      <c r="B771" s="1856" t="s">
        <v>16</v>
      </c>
      <c r="C771" s="1856" t="s">
        <v>3759</v>
      </c>
      <c r="D771" s="1856" t="s">
        <v>3760</v>
      </c>
      <c r="E771" s="1856" t="s">
        <v>3761</v>
      </c>
      <c r="F771" s="1856" t="s">
        <v>2674</v>
      </c>
      <c r="G771" s="1856" t="s">
        <v>3762</v>
      </c>
      <c r="H771" s="1856" t="s">
        <v>28</v>
      </c>
      <c r="I771" s="1856" t="s">
        <v>1660</v>
      </c>
    </row>
    <row customHeight="1" ht="11.25">
      <c r="A772" s="1856" t="s">
        <v>2288</v>
      </c>
      <c r="B772" s="1856" t="s">
        <v>16</v>
      </c>
      <c r="C772" s="1856" t="s">
        <v>3763</v>
      </c>
      <c r="D772" s="1856" t="s">
        <v>3764</v>
      </c>
      <c r="E772" s="1856" t="s">
        <v>3765</v>
      </c>
      <c r="F772" s="1856" t="s">
        <v>2674</v>
      </c>
      <c r="G772" s="1856" t="s">
        <v>3766</v>
      </c>
      <c r="H772" s="1856" t="s">
        <v>28</v>
      </c>
      <c r="I772" s="1856" t="s">
        <v>1660</v>
      </c>
    </row>
    <row customHeight="1" ht="11.25">
      <c r="A773" s="1856" t="s">
        <v>2288</v>
      </c>
      <c r="B773" s="1856" t="s">
        <v>16</v>
      </c>
      <c r="C773" s="1856" t="s">
        <v>3767</v>
      </c>
      <c r="D773" s="1856" t="s">
        <v>3768</v>
      </c>
      <c r="E773" s="1856" t="s">
        <v>3769</v>
      </c>
      <c r="F773" s="1856" t="s">
        <v>2319</v>
      </c>
      <c r="G773" s="1856" t="s">
        <v>3770</v>
      </c>
      <c r="H773" s="1856" t="s">
        <v>28</v>
      </c>
      <c r="I773" s="1856" t="s">
        <v>1660</v>
      </c>
    </row>
    <row customHeight="1" ht="11.25">
      <c r="A774" s="1856" t="s">
        <v>2288</v>
      </c>
      <c r="B774" s="1856" t="s">
        <v>16</v>
      </c>
      <c r="C774" s="1856" t="s">
        <v>3771</v>
      </c>
      <c r="D774" s="1856" t="s">
        <v>3772</v>
      </c>
      <c r="E774" s="1856" t="s">
        <v>3773</v>
      </c>
      <c r="F774" s="1856" t="s">
        <v>2687</v>
      </c>
      <c r="G774" s="1856" t="s">
        <v>3774</v>
      </c>
      <c r="H774" s="1856" t="s">
        <v>28</v>
      </c>
      <c r="I774" s="1856" t="s">
        <v>1660</v>
      </c>
    </row>
    <row customHeight="1" ht="11.25">
      <c r="A775" s="1856" t="s">
        <v>2288</v>
      </c>
      <c r="B775" s="1856" t="s">
        <v>16</v>
      </c>
      <c r="C775" s="1856" t="s">
        <v>3621</v>
      </c>
      <c r="D775" s="1856" t="s">
        <v>3622</v>
      </c>
      <c r="E775" s="1856" t="s">
        <v>3623</v>
      </c>
      <c r="F775" s="1856" t="s">
        <v>2746</v>
      </c>
      <c r="G775" s="1856" t="s">
        <v>3624</v>
      </c>
      <c r="H775" s="1856" t="s">
        <v>28</v>
      </c>
      <c r="I775" s="1856" t="s">
        <v>1660</v>
      </c>
    </row>
    <row customHeight="1" ht="11.25">
      <c r="A776" s="1856" t="s">
        <v>2288</v>
      </c>
      <c r="B776" s="1856" t="s">
        <v>16</v>
      </c>
      <c r="C776" s="1856" t="s">
        <v>3775</v>
      </c>
      <c r="D776" s="1856" t="s">
        <v>3776</v>
      </c>
      <c r="E776" s="1856" t="s">
        <v>3777</v>
      </c>
      <c r="F776" s="1856" t="s">
        <v>2319</v>
      </c>
      <c r="G776" s="1856" t="s">
        <v>28</v>
      </c>
      <c r="H776" s="1856" t="s">
        <v>28</v>
      </c>
      <c r="I776" s="1856" t="s">
        <v>1660</v>
      </c>
    </row>
    <row customHeight="1" ht="11.25">
      <c r="A777" s="1856" t="s">
        <v>2288</v>
      </c>
      <c r="B777" s="1856" t="s">
        <v>16</v>
      </c>
      <c r="C777" s="1856" t="s">
        <v>3024</v>
      </c>
      <c r="D777" s="1856" t="s">
        <v>3025</v>
      </c>
      <c r="E777" s="1856" t="s">
        <v>3026</v>
      </c>
      <c r="F777" s="1856" t="s">
        <v>2651</v>
      </c>
      <c r="G777" s="1856" t="s">
        <v>3027</v>
      </c>
      <c r="H777" s="1856" t="s">
        <v>28</v>
      </c>
      <c r="I777" s="1856" t="s">
        <v>1660</v>
      </c>
    </row>
    <row customHeight="1" ht="11.25">
      <c r="A778" s="1856" t="s">
        <v>2288</v>
      </c>
      <c r="B778" s="1856" t="s">
        <v>16</v>
      </c>
      <c r="C778" s="1856" t="s">
        <v>3401</v>
      </c>
      <c r="D778" s="1856" t="s">
        <v>3402</v>
      </c>
      <c r="E778" s="1856" t="s">
        <v>3403</v>
      </c>
      <c r="F778" s="1856" t="s">
        <v>2701</v>
      </c>
      <c r="G778" s="1856" t="s">
        <v>3404</v>
      </c>
      <c r="H778" s="1856" t="s">
        <v>28</v>
      </c>
      <c r="I778" s="1856" t="s">
        <v>1660</v>
      </c>
    </row>
    <row customHeight="1" ht="11.25">
      <c r="A779" s="1856" t="s">
        <v>2288</v>
      </c>
      <c r="B779" s="1856" t="s">
        <v>16</v>
      </c>
      <c r="C779" s="1856" t="s">
        <v>3778</v>
      </c>
      <c r="D779" s="1856" t="s">
        <v>3779</v>
      </c>
      <c r="E779" s="1856" t="s">
        <v>3780</v>
      </c>
      <c r="F779" s="1856" t="s">
        <v>2687</v>
      </c>
      <c r="G779" s="1856" t="s">
        <v>3781</v>
      </c>
      <c r="H779" s="1856" t="s">
        <v>28</v>
      </c>
      <c r="I779" s="1856" t="s">
        <v>1660</v>
      </c>
    </row>
    <row customHeight="1" ht="11.25">
      <c r="A780" s="1856" t="s">
        <v>2288</v>
      </c>
      <c r="B780" s="1856" t="s">
        <v>16</v>
      </c>
      <c r="C780" s="1856" t="s">
        <v>3644</v>
      </c>
      <c r="D780" s="1856" t="s">
        <v>3645</v>
      </c>
      <c r="E780" s="1856" t="s">
        <v>3646</v>
      </c>
      <c r="F780" s="1856" t="s">
        <v>2692</v>
      </c>
      <c r="G780" s="1856" t="s">
        <v>3647</v>
      </c>
      <c r="H780" s="1856" t="s">
        <v>28</v>
      </c>
      <c r="I780" s="1856" t="s">
        <v>1660</v>
      </c>
    </row>
    <row customHeight="1" ht="11.25">
      <c r="A781" s="1856" t="s">
        <v>2288</v>
      </c>
      <c r="B781" s="1856" t="s">
        <v>16</v>
      </c>
      <c r="C781" s="1856" t="s">
        <v>3782</v>
      </c>
      <c r="D781" s="1856" t="s">
        <v>3783</v>
      </c>
      <c r="E781" s="1856" t="s">
        <v>3784</v>
      </c>
      <c r="F781" s="1856" t="s">
        <v>2400</v>
      </c>
      <c r="G781" s="1856" t="s">
        <v>28</v>
      </c>
      <c r="H781" s="1856" t="s">
        <v>28</v>
      </c>
      <c r="I781" s="1856" t="s">
        <v>1660</v>
      </c>
    </row>
    <row customHeight="1" ht="11.25">
      <c r="A782" s="1856" t="s">
        <v>2288</v>
      </c>
      <c r="B782" s="1856" t="s">
        <v>16</v>
      </c>
      <c r="C782" s="1856" t="s">
        <v>3785</v>
      </c>
      <c r="D782" s="1856" t="s">
        <v>3786</v>
      </c>
      <c r="E782" s="1856" t="s">
        <v>3787</v>
      </c>
      <c r="F782" s="1856" t="s">
        <v>2300</v>
      </c>
      <c r="G782" s="1856" t="s">
        <v>3788</v>
      </c>
      <c r="H782" s="1856" t="s">
        <v>28</v>
      </c>
      <c r="I782" s="1856" t="s">
        <v>1660</v>
      </c>
    </row>
    <row customHeight="1" ht="11.25">
      <c r="A783" s="1856" t="s">
        <v>2288</v>
      </c>
      <c r="B783" s="1856" t="s">
        <v>16</v>
      </c>
      <c r="C783" s="1856" t="s">
        <v>3789</v>
      </c>
      <c r="D783" s="1856" t="s">
        <v>3790</v>
      </c>
      <c r="E783" s="1856" t="s">
        <v>3791</v>
      </c>
      <c r="F783" s="1856" t="s">
        <v>2300</v>
      </c>
      <c r="G783" s="1856" t="s">
        <v>3792</v>
      </c>
      <c r="H783" s="1856" t="s">
        <v>28</v>
      </c>
      <c r="I783" s="1856" t="s">
        <v>1660</v>
      </c>
    </row>
    <row customHeight="1" ht="11.25">
      <c r="A784" s="1856" t="s">
        <v>2288</v>
      </c>
      <c r="B784" s="1856" t="s">
        <v>16</v>
      </c>
      <c r="C784" s="1856" t="s">
        <v>3666</v>
      </c>
      <c r="D784" s="1856" t="s">
        <v>3667</v>
      </c>
      <c r="E784" s="1856" t="s">
        <v>3668</v>
      </c>
      <c r="F784" s="1856" t="s">
        <v>2674</v>
      </c>
      <c r="G784" s="1856" t="s">
        <v>28</v>
      </c>
      <c r="H784" s="1856" t="s">
        <v>28</v>
      </c>
      <c r="I784" s="1856" t="s">
        <v>1660</v>
      </c>
    </row>
    <row customHeight="1" ht="11.25">
      <c r="A785" s="1856" t="s">
        <v>2288</v>
      </c>
      <c r="B785" s="1856" t="s">
        <v>16</v>
      </c>
      <c r="C785" s="1856" t="s">
        <v>3114</v>
      </c>
      <c r="D785" s="1856" t="s">
        <v>3115</v>
      </c>
      <c r="E785" s="1856" t="s">
        <v>3116</v>
      </c>
      <c r="F785" s="1856" t="s">
        <v>2333</v>
      </c>
      <c r="G785" s="1856" t="s">
        <v>3117</v>
      </c>
      <c r="H785" s="1856" t="s">
        <v>28</v>
      </c>
      <c r="I785" s="1856" t="s">
        <v>1660</v>
      </c>
    </row>
    <row customHeight="1" ht="11.25">
      <c r="A786" s="1856" t="s">
        <v>2288</v>
      </c>
      <c r="B786" s="1856" t="s">
        <v>16</v>
      </c>
      <c r="C786" s="1856" t="s">
        <v>3267</v>
      </c>
      <c r="D786" s="1856" t="s">
        <v>3268</v>
      </c>
      <c r="E786" s="1856" t="s">
        <v>3269</v>
      </c>
      <c r="F786" s="1856" t="s">
        <v>2674</v>
      </c>
      <c r="G786" s="1856" t="s">
        <v>3270</v>
      </c>
      <c r="H786" s="1856" t="s">
        <v>28</v>
      </c>
      <c r="I786" s="1856" t="s">
        <v>1660</v>
      </c>
    </row>
    <row customHeight="1" ht="11.25">
      <c r="A787" s="1856" t="s">
        <v>2288</v>
      </c>
      <c r="B787" s="1856" t="s">
        <v>16</v>
      </c>
      <c r="C787" s="1856" t="s">
        <v>3793</v>
      </c>
      <c r="D787" s="1856" t="s">
        <v>3794</v>
      </c>
      <c r="E787" s="1856" t="s">
        <v>3795</v>
      </c>
      <c r="F787" s="1856" t="s">
        <v>3108</v>
      </c>
      <c r="G787" s="1856" t="s">
        <v>3796</v>
      </c>
      <c r="H787" s="1856" t="s">
        <v>28</v>
      </c>
      <c r="I787" s="1856" t="s">
        <v>1660</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899F45-1652-89CA-2862-6FA0761C715E}" mc:Ignorable="x14ac xr xr2 xr3">
  <sheetPr>
    <tabColor rgb="FFFFCC99"/>
  </sheetPr>
  <dimension ref="A1:G456"/>
  <sheetViews>
    <sheetView topLeftCell="A1" showGridLines="0" workbookViewId="0">
      <selection activeCell="A1" sqref="A1"/>
    </sheetView>
  </sheetViews>
  <sheetFormatPr customHeight="1" defaultRowHeight="11.25"/>
  <cols>
    <col min="1" max="1" style="1856" width="9.140625"/>
  </cols>
  <sheetData>
    <row customHeight="1" ht="11.25">
      <c r="A1" s="379" t="s">
        <v>3797</v>
      </c>
      <c r="B1" s="70" t="s">
        <v>3798</v>
      </c>
      <c r="C1" s="70" t="s">
        <v>3799</v>
      </c>
      <c r="D1" s="70" t="s">
        <v>3800</v>
      </c>
      <c r="E1" s="68" t="s">
        <v>3801</v>
      </c>
      <c r="F1" s="68" t="s">
        <v>3802</v>
      </c>
      <c r="G1" s="68" t="s">
        <v>3803</v>
      </c>
    </row>
    <row customHeight="1" ht="11.25">
      <c r="A2" s="379" t="s">
        <v>16</v>
      </c>
      <c r="B2" s="0" t="s">
        <v>3804</v>
      </c>
      <c r="C2" s="0" t="s">
        <v>3805</v>
      </c>
      <c r="D2" s="0" t="s">
        <v>3804</v>
      </c>
      <c r="E2" s="0" t="s">
        <v>3805</v>
      </c>
      <c r="F2" s="0" t="s">
        <v>3806</v>
      </c>
      <c r="G2" s="0" t="s">
        <v>111</v>
      </c>
    </row>
    <row customHeight="1" ht="11.25">
      <c r="A3" s="379" t="s">
        <v>16</v>
      </c>
      <c r="B3" s="0" t="s">
        <v>3804</v>
      </c>
      <c r="C3" s="0" t="s">
        <v>3805</v>
      </c>
      <c r="D3" s="0" t="s">
        <v>3807</v>
      </c>
      <c r="E3" s="0" t="s">
        <v>3808</v>
      </c>
      <c r="F3" s="0" t="s">
        <v>3809</v>
      </c>
      <c r="G3" s="0" t="s">
        <v>112</v>
      </c>
    </row>
    <row customHeight="1" ht="11.25">
      <c r="A4" s="379" t="s">
        <v>16</v>
      </c>
      <c r="B4" s="0" t="s">
        <v>3804</v>
      </c>
      <c r="C4" s="0" t="s">
        <v>3805</v>
      </c>
      <c r="D4" s="0" t="s">
        <v>3810</v>
      </c>
      <c r="E4" s="0" t="s">
        <v>3811</v>
      </c>
      <c r="F4" s="0" t="s">
        <v>3809</v>
      </c>
      <c r="G4" s="0" t="s">
        <v>91</v>
      </c>
    </row>
    <row customHeight="1" ht="11.25">
      <c r="A5" s="379" t="s">
        <v>16</v>
      </c>
      <c r="B5" s="0" t="s">
        <v>3804</v>
      </c>
      <c r="C5" s="0" t="s">
        <v>3805</v>
      </c>
      <c r="D5" s="0" t="s">
        <v>3812</v>
      </c>
      <c r="E5" s="0" t="s">
        <v>3813</v>
      </c>
      <c r="F5" s="0" t="s">
        <v>3809</v>
      </c>
      <c r="G5" s="0" t="s">
        <v>92</v>
      </c>
    </row>
    <row customHeight="1" ht="11.25">
      <c r="A6" s="379" t="s">
        <v>16</v>
      </c>
      <c r="B6" s="0" t="s">
        <v>3804</v>
      </c>
      <c r="C6" s="0" t="s">
        <v>3805</v>
      </c>
      <c r="D6" s="0" t="s">
        <v>3814</v>
      </c>
      <c r="E6" s="0" t="s">
        <v>3815</v>
      </c>
      <c r="F6" s="0" t="s">
        <v>3816</v>
      </c>
      <c r="G6" s="0" t="s">
        <v>113</v>
      </c>
    </row>
    <row customHeight="1" ht="11.25">
      <c r="A7" s="379" t="s">
        <v>16</v>
      </c>
      <c r="B7" s="0" t="s">
        <v>3804</v>
      </c>
      <c r="C7" s="0" t="s">
        <v>3805</v>
      </c>
      <c r="D7" s="0" t="s">
        <v>3817</v>
      </c>
      <c r="E7" s="0" t="s">
        <v>3818</v>
      </c>
      <c r="F7" s="0" t="s">
        <v>3809</v>
      </c>
      <c r="G7" s="0" t="s">
        <v>93</v>
      </c>
    </row>
    <row customHeight="1" ht="11.25">
      <c r="A8" s="379" t="s">
        <v>16</v>
      </c>
      <c r="B8" s="0" t="s">
        <v>3804</v>
      </c>
      <c r="C8" s="0" t="s">
        <v>3805</v>
      </c>
      <c r="D8" s="0" t="s">
        <v>3819</v>
      </c>
      <c r="E8" s="0" t="s">
        <v>3820</v>
      </c>
      <c r="F8" s="0" t="s">
        <v>3809</v>
      </c>
      <c r="G8" s="0" t="s">
        <v>94</v>
      </c>
    </row>
    <row customHeight="1" ht="11.25">
      <c r="A9" s="379" t="s">
        <v>16</v>
      </c>
      <c r="B9" s="0" t="s">
        <v>3821</v>
      </c>
      <c r="C9" s="0" t="s">
        <v>3822</v>
      </c>
      <c r="D9" s="0" t="s">
        <v>3821</v>
      </c>
      <c r="E9" s="0" t="s">
        <v>3822</v>
      </c>
      <c r="F9" s="0" t="s">
        <v>3806</v>
      </c>
      <c r="G9" s="0" t="s">
        <v>114</v>
      </c>
    </row>
    <row customHeight="1" ht="11.25">
      <c r="A10" s="379" t="s">
        <v>16</v>
      </c>
      <c r="B10" s="0" t="s">
        <v>3821</v>
      </c>
      <c r="C10" s="0" t="s">
        <v>3822</v>
      </c>
      <c r="D10" s="0" t="s">
        <v>3823</v>
      </c>
      <c r="E10" s="0" t="s">
        <v>3824</v>
      </c>
      <c r="F10" s="0" t="s">
        <v>3809</v>
      </c>
      <c r="G10" s="0" t="s">
        <v>150</v>
      </c>
    </row>
    <row customHeight="1" ht="11.25">
      <c r="A11" s="379" t="s">
        <v>16</v>
      </c>
      <c r="B11" s="0" t="s">
        <v>3821</v>
      </c>
      <c r="C11" s="0" t="s">
        <v>3822</v>
      </c>
      <c r="D11" s="0" t="s">
        <v>3825</v>
      </c>
      <c r="E11" s="0" t="s">
        <v>3826</v>
      </c>
      <c r="F11" s="0" t="s">
        <v>3827</v>
      </c>
      <c r="G11" s="0" t="s">
        <v>151</v>
      </c>
    </row>
    <row customHeight="1" ht="11.25">
      <c r="A12" s="379" t="s">
        <v>16</v>
      </c>
      <c r="B12" s="0" t="s">
        <v>3821</v>
      </c>
      <c r="C12" s="0" t="s">
        <v>3822</v>
      </c>
      <c r="D12" s="0" t="s">
        <v>3828</v>
      </c>
      <c r="E12" s="0" t="s">
        <v>3829</v>
      </c>
      <c r="F12" s="0" t="s">
        <v>3827</v>
      </c>
      <c r="G12" s="0" t="s">
        <v>152</v>
      </c>
    </row>
    <row customHeight="1" ht="11.25">
      <c r="A13" s="379" t="s">
        <v>16</v>
      </c>
      <c r="B13" s="0" t="s">
        <v>3821</v>
      </c>
      <c r="C13" s="0" t="s">
        <v>3822</v>
      </c>
      <c r="D13" s="0" t="s">
        <v>3830</v>
      </c>
      <c r="E13" s="0" t="s">
        <v>3831</v>
      </c>
      <c r="F13" s="0" t="s">
        <v>3809</v>
      </c>
      <c r="G13" s="0" t="s">
        <v>153</v>
      </c>
    </row>
    <row customHeight="1" ht="11.25">
      <c r="A14" s="379" t="s">
        <v>16</v>
      </c>
      <c r="B14" s="0" t="s">
        <v>3821</v>
      </c>
      <c r="C14" s="0" t="s">
        <v>3822</v>
      </c>
      <c r="D14" s="0" t="s">
        <v>3832</v>
      </c>
      <c r="E14" s="0" t="s">
        <v>3833</v>
      </c>
      <c r="F14" s="0" t="s">
        <v>3816</v>
      </c>
      <c r="G14" s="0" t="s">
        <v>154</v>
      </c>
    </row>
    <row customHeight="1" ht="11.25">
      <c r="A15" s="379" t="s">
        <v>16</v>
      </c>
      <c r="B15" s="0" t="s">
        <v>3821</v>
      </c>
      <c r="C15" s="0" t="s">
        <v>3822</v>
      </c>
      <c r="D15" s="0" t="s">
        <v>3834</v>
      </c>
      <c r="E15" s="0" t="s">
        <v>3835</v>
      </c>
      <c r="F15" s="0" t="s">
        <v>3816</v>
      </c>
      <c r="G15" s="0" t="s">
        <v>155</v>
      </c>
    </row>
    <row customHeight="1" ht="11.25">
      <c r="A16" s="379" t="s">
        <v>16</v>
      </c>
      <c r="B16" s="0" t="s">
        <v>3821</v>
      </c>
      <c r="C16" s="0" t="s">
        <v>3822</v>
      </c>
      <c r="D16" s="0" t="s">
        <v>3836</v>
      </c>
      <c r="E16" s="0" t="s">
        <v>3837</v>
      </c>
      <c r="F16" s="0" t="s">
        <v>3809</v>
      </c>
      <c r="G16" s="0" t="s">
        <v>1503</v>
      </c>
    </row>
    <row customHeight="1" ht="11.25">
      <c r="A17" s="379" t="s">
        <v>16</v>
      </c>
      <c r="B17" s="0" t="s">
        <v>3838</v>
      </c>
      <c r="C17" s="0" t="s">
        <v>3839</v>
      </c>
      <c r="D17" s="0" t="s">
        <v>3838</v>
      </c>
      <c r="E17" s="0" t="s">
        <v>3839</v>
      </c>
      <c r="F17" s="0" t="s">
        <v>3806</v>
      </c>
      <c r="G17" s="0" t="s">
        <v>1509</v>
      </c>
    </row>
    <row customHeight="1" ht="11.25">
      <c r="A18" s="379" t="s">
        <v>16</v>
      </c>
      <c r="B18" s="0" t="s">
        <v>3838</v>
      </c>
      <c r="C18" s="0" t="s">
        <v>3839</v>
      </c>
      <c r="D18" s="0" t="s">
        <v>3840</v>
      </c>
      <c r="E18" s="0" t="s">
        <v>3841</v>
      </c>
      <c r="F18" s="0" t="s">
        <v>3809</v>
      </c>
      <c r="G18" s="0" t="s">
        <v>1521</v>
      </c>
    </row>
    <row customHeight="1" ht="11.25">
      <c r="A19" s="379" t="s">
        <v>16</v>
      </c>
      <c r="B19" s="0" t="s">
        <v>3838</v>
      </c>
      <c r="C19" s="0" t="s">
        <v>3839</v>
      </c>
      <c r="D19" s="0" t="s">
        <v>3842</v>
      </c>
      <c r="E19" s="0" t="s">
        <v>3843</v>
      </c>
      <c r="F19" s="0" t="s">
        <v>3809</v>
      </c>
      <c r="G19" s="0" t="s">
        <v>1535</v>
      </c>
    </row>
    <row customHeight="1" ht="11.25">
      <c r="A20" s="379" t="s">
        <v>16</v>
      </c>
      <c r="B20" s="0" t="s">
        <v>3838</v>
      </c>
      <c r="C20" s="0" t="s">
        <v>3839</v>
      </c>
      <c r="D20" s="0" t="s">
        <v>3844</v>
      </c>
      <c r="E20" s="0" t="s">
        <v>3845</v>
      </c>
      <c r="F20" s="0" t="s">
        <v>3846</v>
      </c>
      <c r="G20" s="0" t="s">
        <v>1547</v>
      </c>
    </row>
    <row customHeight="1" ht="11.25">
      <c r="A21" s="379" t="s">
        <v>16</v>
      </c>
      <c r="B21" s="0" t="s">
        <v>3838</v>
      </c>
      <c r="C21" s="0" t="s">
        <v>3839</v>
      </c>
      <c r="D21" s="0" t="s">
        <v>3847</v>
      </c>
      <c r="E21" s="0" t="s">
        <v>3848</v>
      </c>
      <c r="F21" s="0" t="s">
        <v>3816</v>
      </c>
      <c r="G21" s="0" t="s">
        <v>1556</v>
      </c>
    </row>
    <row customHeight="1" ht="11.25">
      <c r="A22" s="379" t="s">
        <v>16</v>
      </c>
      <c r="B22" s="0" t="s">
        <v>3838</v>
      </c>
      <c r="C22" s="0" t="s">
        <v>3839</v>
      </c>
      <c r="D22" s="0" t="s">
        <v>3849</v>
      </c>
      <c r="E22" s="0" t="s">
        <v>3850</v>
      </c>
      <c r="F22" s="0" t="s">
        <v>3809</v>
      </c>
      <c r="G22" s="0" t="s">
        <v>1572</v>
      </c>
    </row>
    <row customHeight="1" ht="11.25">
      <c r="A23" s="379" t="s">
        <v>16</v>
      </c>
      <c r="B23" s="0" t="s">
        <v>3838</v>
      </c>
      <c r="C23" s="0" t="s">
        <v>3839</v>
      </c>
      <c r="D23" s="0" t="s">
        <v>3851</v>
      </c>
      <c r="E23" s="0" t="s">
        <v>3852</v>
      </c>
      <c r="F23" s="0" t="s">
        <v>3809</v>
      </c>
      <c r="G23" s="0" t="s">
        <v>1579</v>
      </c>
    </row>
    <row customHeight="1" ht="11.25">
      <c r="A24" s="379" t="s">
        <v>16</v>
      </c>
      <c r="B24" s="0" t="s">
        <v>3853</v>
      </c>
      <c r="C24" s="0" t="s">
        <v>3854</v>
      </c>
      <c r="D24" s="0" t="s">
        <v>3855</v>
      </c>
      <c r="E24" s="0" t="s">
        <v>3856</v>
      </c>
      <c r="F24" s="0" t="s">
        <v>3809</v>
      </c>
      <c r="G24" s="0" t="s">
        <v>1587</v>
      </c>
    </row>
    <row customHeight="1" ht="11.25">
      <c r="A25" s="379" t="s">
        <v>16</v>
      </c>
      <c r="B25" s="0" t="s">
        <v>3853</v>
      </c>
      <c r="C25" s="0" t="s">
        <v>3854</v>
      </c>
      <c r="D25" s="0" t="s">
        <v>3857</v>
      </c>
      <c r="E25" s="0" t="s">
        <v>3858</v>
      </c>
      <c r="F25" s="0" t="s">
        <v>3809</v>
      </c>
      <c r="G25" s="0" t="s">
        <v>1594</v>
      </c>
    </row>
    <row customHeight="1" ht="11.25">
      <c r="A26" s="379" t="s">
        <v>16</v>
      </c>
      <c r="B26" s="0" t="s">
        <v>3853</v>
      </c>
      <c r="C26" s="0" t="s">
        <v>3854</v>
      </c>
      <c r="D26" s="0" t="s">
        <v>3859</v>
      </c>
      <c r="E26" s="0" t="s">
        <v>3860</v>
      </c>
      <c r="F26" s="0" t="s">
        <v>3809</v>
      </c>
      <c r="G26" s="0" t="s">
        <v>1598</v>
      </c>
    </row>
    <row customHeight="1" ht="11.25">
      <c r="A27" s="379" t="s">
        <v>16</v>
      </c>
      <c r="B27" s="0" t="s">
        <v>3853</v>
      </c>
      <c r="C27" s="0" t="s">
        <v>3854</v>
      </c>
      <c r="D27" s="0" t="s">
        <v>3853</v>
      </c>
      <c r="E27" s="0" t="s">
        <v>3854</v>
      </c>
      <c r="F27" s="0" t="s">
        <v>3806</v>
      </c>
      <c r="G27" s="0" t="s">
        <v>1603</v>
      </c>
    </row>
    <row customHeight="1" ht="11.25">
      <c r="A28" s="379" t="s">
        <v>16</v>
      </c>
      <c r="B28" s="0" t="s">
        <v>3853</v>
      </c>
      <c r="C28" s="0" t="s">
        <v>3854</v>
      </c>
      <c r="D28" s="0" t="s">
        <v>3861</v>
      </c>
      <c r="E28" s="0" t="s">
        <v>3862</v>
      </c>
      <c r="F28" s="0" t="s">
        <v>3809</v>
      </c>
      <c r="G28" s="0" t="s">
        <v>1611</v>
      </c>
    </row>
    <row customHeight="1" ht="11.25">
      <c r="A29" s="379" t="s">
        <v>16</v>
      </c>
      <c r="B29" s="0" t="s">
        <v>3853</v>
      </c>
      <c r="C29" s="0" t="s">
        <v>3854</v>
      </c>
      <c r="D29" s="0" t="s">
        <v>3863</v>
      </c>
      <c r="E29" s="0" t="s">
        <v>3864</v>
      </c>
      <c r="F29" s="0" t="s">
        <v>3809</v>
      </c>
      <c r="G29" s="0" t="s">
        <v>1613</v>
      </c>
    </row>
    <row customHeight="1" ht="11.25">
      <c r="A30" s="379" t="s">
        <v>16</v>
      </c>
      <c r="B30" s="0" t="s">
        <v>3853</v>
      </c>
      <c r="C30" s="0" t="s">
        <v>3854</v>
      </c>
      <c r="D30" s="0" t="s">
        <v>3865</v>
      </c>
      <c r="E30" s="0" t="s">
        <v>3866</v>
      </c>
      <c r="F30" s="0" t="s">
        <v>3809</v>
      </c>
      <c r="G30" s="0" t="s">
        <v>1616</v>
      </c>
    </row>
    <row customHeight="1" ht="11.25">
      <c r="A31" s="379" t="s">
        <v>16</v>
      </c>
      <c r="B31" s="0" t="s">
        <v>3853</v>
      </c>
      <c r="C31" s="0" t="s">
        <v>3854</v>
      </c>
      <c r="D31" s="0" t="s">
        <v>3867</v>
      </c>
      <c r="E31" s="0" t="s">
        <v>3868</v>
      </c>
      <c r="F31" s="0" t="s">
        <v>3809</v>
      </c>
      <c r="G31" s="0" t="s">
        <v>1622</v>
      </c>
    </row>
    <row customHeight="1" ht="11.25">
      <c r="A32" s="379" t="s">
        <v>16</v>
      </c>
      <c r="B32" s="0" t="s">
        <v>3853</v>
      </c>
      <c r="C32" s="0" t="s">
        <v>3854</v>
      </c>
      <c r="D32" s="0" t="s">
        <v>3869</v>
      </c>
      <c r="E32" s="0" t="s">
        <v>3870</v>
      </c>
      <c r="F32" s="0" t="s">
        <v>3809</v>
      </c>
      <c r="G32" s="0" t="s">
        <v>1624</v>
      </c>
    </row>
    <row customHeight="1" ht="11.25">
      <c r="A33" s="379" t="s">
        <v>16</v>
      </c>
      <c r="B33" s="0" t="s">
        <v>3853</v>
      </c>
      <c r="C33" s="0" t="s">
        <v>3854</v>
      </c>
      <c r="D33" s="0" t="s">
        <v>3871</v>
      </c>
      <c r="E33" s="0" t="s">
        <v>3872</v>
      </c>
      <c r="F33" s="0" t="s">
        <v>3809</v>
      </c>
      <c r="G33" s="0" t="s">
        <v>1626</v>
      </c>
    </row>
    <row customHeight="1" ht="11.25">
      <c r="A34" s="379" t="s">
        <v>16</v>
      </c>
      <c r="B34" s="0" t="s">
        <v>3853</v>
      </c>
      <c r="C34" s="0" t="s">
        <v>3854</v>
      </c>
      <c r="D34" s="0" t="s">
        <v>3873</v>
      </c>
      <c r="E34" s="0" t="s">
        <v>3874</v>
      </c>
      <c r="F34" s="0" t="s">
        <v>3809</v>
      </c>
      <c r="G34" s="0" t="s">
        <v>1628</v>
      </c>
    </row>
    <row customHeight="1" ht="11.25">
      <c r="A35" s="379" t="s">
        <v>16</v>
      </c>
      <c r="B35" s="0" t="s">
        <v>3853</v>
      </c>
      <c r="C35" s="0" t="s">
        <v>3854</v>
      </c>
      <c r="D35" s="0" t="s">
        <v>3875</v>
      </c>
      <c r="E35" s="0" t="s">
        <v>3876</v>
      </c>
      <c r="F35" s="0" t="s">
        <v>3809</v>
      </c>
      <c r="G35" s="0" t="s">
        <v>1633</v>
      </c>
    </row>
    <row customHeight="1" ht="11.25">
      <c r="A36" s="379" t="s">
        <v>16</v>
      </c>
      <c r="B36" s="0" t="s">
        <v>3853</v>
      </c>
      <c r="C36" s="0" t="s">
        <v>3854</v>
      </c>
      <c r="D36" s="0" t="s">
        <v>3877</v>
      </c>
      <c r="E36" s="0" t="s">
        <v>3878</v>
      </c>
      <c r="F36" s="0" t="s">
        <v>3809</v>
      </c>
      <c r="G36" s="0" t="s">
        <v>1638</v>
      </c>
    </row>
    <row customHeight="1" ht="11.25">
      <c r="A37" s="379" t="s">
        <v>16</v>
      </c>
      <c r="B37" s="0" t="s">
        <v>3853</v>
      </c>
      <c r="C37" s="0" t="s">
        <v>3854</v>
      </c>
      <c r="D37" s="0" t="s">
        <v>3879</v>
      </c>
      <c r="E37" s="0" t="s">
        <v>3880</v>
      </c>
      <c r="F37" s="0" t="s">
        <v>3809</v>
      </c>
      <c r="G37" s="0" t="s">
        <v>1642</v>
      </c>
    </row>
    <row customHeight="1" ht="11.25">
      <c r="A38" s="379" t="s">
        <v>16</v>
      </c>
      <c r="B38" s="0" t="s">
        <v>3853</v>
      </c>
      <c r="C38" s="0" t="s">
        <v>3854</v>
      </c>
      <c r="D38" s="0" t="s">
        <v>3881</v>
      </c>
      <c r="E38" s="0" t="s">
        <v>3882</v>
      </c>
      <c r="F38" s="0" t="s">
        <v>3809</v>
      </c>
      <c r="G38" s="0" t="s">
        <v>1650</v>
      </c>
    </row>
    <row customHeight="1" ht="11.25">
      <c r="A39" s="379" t="s">
        <v>16</v>
      </c>
      <c r="B39" s="0" t="s">
        <v>3883</v>
      </c>
      <c r="C39" s="0" t="s">
        <v>3884</v>
      </c>
      <c r="D39" s="0" t="s">
        <v>3883</v>
      </c>
      <c r="E39" s="0" t="s">
        <v>3884</v>
      </c>
      <c r="F39" s="0" t="s">
        <v>3806</v>
      </c>
      <c r="G39" s="0" t="s">
        <v>1656</v>
      </c>
    </row>
    <row customHeight="1" ht="11.25">
      <c r="A40" s="379" t="s">
        <v>16</v>
      </c>
      <c r="B40" s="0" t="s">
        <v>3883</v>
      </c>
      <c r="C40" s="0" t="s">
        <v>3884</v>
      </c>
      <c r="D40" s="0" t="s">
        <v>3885</v>
      </c>
      <c r="E40" s="0" t="s">
        <v>3886</v>
      </c>
      <c r="F40" s="0" t="s">
        <v>3809</v>
      </c>
      <c r="G40" s="0" t="s">
        <v>1661</v>
      </c>
    </row>
    <row customHeight="1" ht="11.25">
      <c r="A41" s="379" t="s">
        <v>16</v>
      </c>
      <c r="B41" s="0" t="s">
        <v>3883</v>
      </c>
      <c r="C41" s="0" t="s">
        <v>3884</v>
      </c>
      <c r="D41" s="0" t="s">
        <v>3887</v>
      </c>
      <c r="E41" s="0" t="s">
        <v>3888</v>
      </c>
      <c r="F41" s="0" t="s">
        <v>3809</v>
      </c>
      <c r="G41" s="0" t="s">
        <v>1665</v>
      </c>
    </row>
    <row customHeight="1" ht="11.25">
      <c r="A42" s="379" t="s">
        <v>16</v>
      </c>
      <c r="B42" s="0" t="s">
        <v>3889</v>
      </c>
      <c r="C42" s="0" t="s">
        <v>3890</v>
      </c>
      <c r="D42" s="0" t="s">
        <v>3891</v>
      </c>
      <c r="E42" s="0" t="s">
        <v>3892</v>
      </c>
      <c r="F42" s="0" t="s">
        <v>3809</v>
      </c>
      <c r="G42" s="0" t="s">
        <v>1668</v>
      </c>
    </row>
    <row customHeight="1" ht="11.25">
      <c r="A43" s="379" t="s">
        <v>16</v>
      </c>
      <c r="B43" s="0" t="s">
        <v>3889</v>
      </c>
      <c r="C43" s="0" t="s">
        <v>3890</v>
      </c>
      <c r="D43" s="0" t="s">
        <v>3889</v>
      </c>
      <c r="E43" s="0" t="s">
        <v>3890</v>
      </c>
      <c r="F43" s="0" t="s">
        <v>3806</v>
      </c>
      <c r="G43" s="0" t="s">
        <v>1675</v>
      </c>
    </row>
    <row customHeight="1" ht="11.25">
      <c r="A44" s="379" t="s">
        <v>16</v>
      </c>
      <c r="B44" s="0" t="s">
        <v>3889</v>
      </c>
      <c r="C44" s="0" t="s">
        <v>3890</v>
      </c>
      <c r="D44" s="0" t="s">
        <v>3893</v>
      </c>
      <c r="E44" s="0" t="s">
        <v>3894</v>
      </c>
      <c r="F44" s="0" t="s">
        <v>3809</v>
      </c>
      <c r="G44" s="0" t="s">
        <v>1684</v>
      </c>
    </row>
    <row customHeight="1" ht="11.25">
      <c r="A45" s="379" t="s">
        <v>16</v>
      </c>
      <c r="B45" s="0" t="s">
        <v>3889</v>
      </c>
      <c r="C45" s="0" t="s">
        <v>3890</v>
      </c>
      <c r="D45" s="0" t="s">
        <v>3895</v>
      </c>
      <c r="E45" s="0" t="s">
        <v>3896</v>
      </c>
      <c r="F45" s="0" t="s">
        <v>3809</v>
      </c>
      <c r="G45" s="0" t="s">
        <v>1689</v>
      </c>
    </row>
    <row customHeight="1" ht="11.25">
      <c r="A46" s="379" t="s">
        <v>16</v>
      </c>
      <c r="B46" s="0" t="s">
        <v>3889</v>
      </c>
      <c r="C46" s="0" t="s">
        <v>3890</v>
      </c>
      <c r="D46" s="0" t="s">
        <v>3897</v>
      </c>
      <c r="E46" s="0" t="s">
        <v>3898</v>
      </c>
      <c r="F46" s="0" t="s">
        <v>3816</v>
      </c>
      <c r="G46" s="0" t="s">
        <v>1693</v>
      </c>
    </row>
    <row customHeight="1" ht="11.25">
      <c r="A47" s="379" t="s">
        <v>16</v>
      </c>
      <c r="B47" s="0" t="s">
        <v>3889</v>
      </c>
      <c r="C47" s="0" t="s">
        <v>3890</v>
      </c>
      <c r="D47" s="0" t="s">
        <v>3899</v>
      </c>
      <c r="E47" s="0" t="s">
        <v>3900</v>
      </c>
      <c r="F47" s="0" t="s">
        <v>3809</v>
      </c>
      <c r="G47" s="0" t="s">
        <v>1699</v>
      </c>
    </row>
    <row customHeight="1" ht="11.25">
      <c r="A48" s="379" t="s">
        <v>16</v>
      </c>
      <c r="B48" s="0" t="s">
        <v>3889</v>
      </c>
      <c r="C48" s="0" t="s">
        <v>3890</v>
      </c>
      <c r="D48" s="0" t="s">
        <v>3901</v>
      </c>
      <c r="E48" s="0" t="s">
        <v>3902</v>
      </c>
      <c r="F48" s="0" t="s">
        <v>3809</v>
      </c>
      <c r="G48" s="0" t="s">
        <v>1704</v>
      </c>
    </row>
    <row customHeight="1" ht="11.25">
      <c r="A49" s="379" t="s">
        <v>16</v>
      </c>
      <c r="B49" s="0" t="s">
        <v>3889</v>
      </c>
      <c r="C49" s="0" t="s">
        <v>3890</v>
      </c>
      <c r="D49" s="0" t="s">
        <v>3903</v>
      </c>
      <c r="E49" s="0" t="s">
        <v>3904</v>
      </c>
      <c r="F49" s="0" t="s">
        <v>3809</v>
      </c>
      <c r="G49" s="0" t="s">
        <v>1707</v>
      </c>
    </row>
    <row customHeight="1" ht="11.25">
      <c r="A50" s="379" t="s">
        <v>16</v>
      </c>
      <c r="B50" s="0" t="s">
        <v>3905</v>
      </c>
      <c r="C50" s="0" t="s">
        <v>3906</v>
      </c>
      <c r="D50" s="0" t="s">
        <v>3907</v>
      </c>
      <c r="E50" s="0" t="s">
        <v>3908</v>
      </c>
      <c r="F50" s="0" t="s">
        <v>3809</v>
      </c>
      <c r="G50" s="0" t="s">
        <v>1711</v>
      </c>
    </row>
    <row customHeight="1" ht="11.25">
      <c r="A51" s="379" t="s">
        <v>16</v>
      </c>
      <c r="B51" s="0" t="s">
        <v>3905</v>
      </c>
      <c r="C51" s="0" t="s">
        <v>3906</v>
      </c>
      <c r="D51" s="0" t="s">
        <v>3909</v>
      </c>
      <c r="E51" s="0" t="s">
        <v>3910</v>
      </c>
      <c r="F51" s="0" t="s">
        <v>3809</v>
      </c>
      <c r="G51" s="0" t="s">
        <v>1715</v>
      </c>
    </row>
    <row customHeight="1" ht="11.25">
      <c r="A52" s="379" t="s">
        <v>16</v>
      </c>
      <c r="B52" s="0" t="s">
        <v>3905</v>
      </c>
      <c r="C52" s="0" t="s">
        <v>3906</v>
      </c>
      <c r="D52" s="0" t="s">
        <v>3911</v>
      </c>
      <c r="E52" s="0" t="s">
        <v>3912</v>
      </c>
      <c r="F52" s="0" t="s">
        <v>3809</v>
      </c>
      <c r="G52" s="0" t="s">
        <v>1719</v>
      </c>
    </row>
    <row customHeight="1" ht="11.25">
      <c r="A53" s="379" t="s">
        <v>16</v>
      </c>
      <c r="B53" s="0" t="s">
        <v>3905</v>
      </c>
      <c r="C53" s="0" t="s">
        <v>3906</v>
      </c>
      <c r="D53" s="0" t="s">
        <v>3905</v>
      </c>
      <c r="E53" s="0" t="s">
        <v>3906</v>
      </c>
      <c r="F53" s="0" t="s">
        <v>3806</v>
      </c>
      <c r="G53" s="0" t="s">
        <v>1721</v>
      </c>
    </row>
    <row customHeight="1" ht="11.25">
      <c r="A54" s="379" t="s">
        <v>16</v>
      </c>
      <c r="B54" s="0" t="s">
        <v>3905</v>
      </c>
      <c r="C54" s="0" t="s">
        <v>3906</v>
      </c>
      <c r="D54" s="0" t="s">
        <v>3913</v>
      </c>
      <c r="E54" s="0" t="s">
        <v>3914</v>
      </c>
      <c r="F54" s="0" t="s">
        <v>3809</v>
      </c>
      <c r="G54" s="0" t="s">
        <v>1724</v>
      </c>
    </row>
    <row customHeight="1" ht="11.25">
      <c r="A55" s="379" t="s">
        <v>16</v>
      </c>
      <c r="B55" s="0" t="s">
        <v>3905</v>
      </c>
      <c r="C55" s="0" t="s">
        <v>3906</v>
      </c>
      <c r="D55" s="0" t="s">
        <v>3915</v>
      </c>
      <c r="E55" s="0" t="s">
        <v>3916</v>
      </c>
      <c r="F55" s="0" t="s">
        <v>3809</v>
      </c>
      <c r="G55" s="0" t="s">
        <v>1728</v>
      </c>
    </row>
    <row customHeight="1" ht="11.25">
      <c r="A56" s="379" t="s">
        <v>16</v>
      </c>
      <c r="B56" s="0" t="s">
        <v>3905</v>
      </c>
      <c r="C56" s="0" t="s">
        <v>3906</v>
      </c>
      <c r="D56" s="0" t="s">
        <v>3917</v>
      </c>
      <c r="E56" s="0" t="s">
        <v>3918</v>
      </c>
      <c r="F56" s="0" t="s">
        <v>3809</v>
      </c>
      <c r="G56" s="0" t="s">
        <v>1731</v>
      </c>
    </row>
    <row customHeight="1" ht="11.25">
      <c r="A57" s="379" t="s">
        <v>16</v>
      </c>
      <c r="B57" s="0" t="s">
        <v>3905</v>
      </c>
      <c r="C57" s="0" t="s">
        <v>3906</v>
      </c>
      <c r="D57" s="0" t="s">
        <v>3919</v>
      </c>
      <c r="E57" s="0" t="s">
        <v>3920</v>
      </c>
      <c r="F57" s="0" t="s">
        <v>3809</v>
      </c>
      <c r="G57" s="0" t="s">
        <v>1734</v>
      </c>
    </row>
    <row customHeight="1" ht="11.25">
      <c r="A58" s="379" t="s">
        <v>16</v>
      </c>
      <c r="B58" s="0" t="s">
        <v>3905</v>
      </c>
      <c r="C58" s="0" t="s">
        <v>3906</v>
      </c>
      <c r="D58" s="0" t="s">
        <v>3921</v>
      </c>
      <c r="E58" s="0" t="s">
        <v>3922</v>
      </c>
      <c r="F58" s="0" t="s">
        <v>3809</v>
      </c>
      <c r="G58" s="0" t="s">
        <v>1737</v>
      </c>
    </row>
    <row customHeight="1" ht="11.25">
      <c r="A59" s="379" t="s">
        <v>16</v>
      </c>
      <c r="B59" s="0" t="s">
        <v>3905</v>
      </c>
      <c r="C59" s="0" t="s">
        <v>3906</v>
      </c>
      <c r="D59" s="0" t="s">
        <v>3923</v>
      </c>
      <c r="E59" s="0" t="s">
        <v>3924</v>
      </c>
      <c r="F59" s="0" t="s">
        <v>3809</v>
      </c>
      <c r="G59" s="0" t="s">
        <v>1741</v>
      </c>
    </row>
    <row customHeight="1" ht="11.25">
      <c r="A60" s="379" t="s">
        <v>16</v>
      </c>
      <c r="B60" s="0" t="s">
        <v>3905</v>
      </c>
      <c r="C60" s="0" t="s">
        <v>3906</v>
      </c>
      <c r="D60" s="0" t="s">
        <v>3925</v>
      </c>
      <c r="E60" s="0" t="s">
        <v>3926</v>
      </c>
      <c r="F60" s="0" t="s">
        <v>3809</v>
      </c>
      <c r="G60" s="0" t="s">
        <v>1745</v>
      </c>
    </row>
    <row customHeight="1" ht="11.25">
      <c r="A61" s="379" t="s">
        <v>16</v>
      </c>
      <c r="B61" s="0" t="s">
        <v>3905</v>
      </c>
      <c r="C61" s="0" t="s">
        <v>3906</v>
      </c>
      <c r="D61" s="0" t="s">
        <v>3927</v>
      </c>
      <c r="E61" s="0" t="s">
        <v>3928</v>
      </c>
      <c r="F61" s="0" t="s">
        <v>3809</v>
      </c>
      <c r="G61" s="0" t="s">
        <v>3929</v>
      </c>
    </row>
    <row customHeight="1" ht="11.25">
      <c r="A62" s="379" t="s">
        <v>16</v>
      </c>
      <c r="B62" s="0" t="s">
        <v>3905</v>
      </c>
      <c r="C62" s="0" t="s">
        <v>3906</v>
      </c>
      <c r="D62" s="0" t="s">
        <v>3930</v>
      </c>
      <c r="E62" s="0" t="s">
        <v>3931</v>
      </c>
      <c r="F62" s="0" t="s">
        <v>3809</v>
      </c>
      <c r="G62" s="0" t="s">
        <v>3932</v>
      </c>
    </row>
    <row customHeight="1" ht="11.25">
      <c r="A63" s="379" t="s">
        <v>16</v>
      </c>
      <c r="B63" s="0" t="s">
        <v>3905</v>
      </c>
      <c r="C63" s="0" t="s">
        <v>3906</v>
      </c>
      <c r="D63" s="0" t="s">
        <v>3933</v>
      </c>
      <c r="E63" s="0" t="s">
        <v>3934</v>
      </c>
      <c r="F63" s="0" t="s">
        <v>3809</v>
      </c>
      <c r="G63" s="0" t="s">
        <v>3935</v>
      </c>
    </row>
    <row customHeight="1" ht="11.25">
      <c r="A64" s="379" t="s">
        <v>16</v>
      </c>
      <c r="B64" s="0" t="s">
        <v>3905</v>
      </c>
      <c r="C64" s="0" t="s">
        <v>3906</v>
      </c>
      <c r="D64" s="0" t="s">
        <v>3936</v>
      </c>
      <c r="E64" s="0" t="s">
        <v>3937</v>
      </c>
      <c r="F64" s="0" t="s">
        <v>3809</v>
      </c>
      <c r="G64" s="0" t="s">
        <v>3938</v>
      </c>
    </row>
    <row customHeight="1" ht="11.25">
      <c r="A65" s="379" t="s">
        <v>16</v>
      </c>
      <c r="B65" s="0" t="s">
        <v>3905</v>
      </c>
      <c r="C65" s="0" t="s">
        <v>3906</v>
      </c>
      <c r="D65" s="0" t="s">
        <v>3939</v>
      </c>
      <c r="E65" s="0" t="s">
        <v>3940</v>
      </c>
      <c r="F65" s="0" t="s">
        <v>3809</v>
      </c>
      <c r="G65" s="0" t="s">
        <v>3941</v>
      </c>
    </row>
    <row customHeight="1" ht="11.25">
      <c r="A66" s="379" t="s">
        <v>16</v>
      </c>
      <c r="B66" s="0" t="s">
        <v>3905</v>
      </c>
      <c r="C66" s="0" t="s">
        <v>3906</v>
      </c>
      <c r="D66" s="0" t="s">
        <v>3942</v>
      </c>
      <c r="E66" s="0" t="s">
        <v>3943</v>
      </c>
      <c r="F66" s="0" t="s">
        <v>3809</v>
      </c>
      <c r="G66" s="0" t="s">
        <v>3944</v>
      </c>
    </row>
    <row customHeight="1" ht="11.25">
      <c r="A67" s="379" t="s">
        <v>16</v>
      </c>
      <c r="B67" s="0" t="s">
        <v>3905</v>
      </c>
      <c r="C67" s="0" t="s">
        <v>3906</v>
      </c>
      <c r="D67" s="0" t="s">
        <v>3945</v>
      </c>
      <c r="E67" s="0" t="s">
        <v>3946</v>
      </c>
      <c r="F67" s="0" t="s">
        <v>3809</v>
      </c>
      <c r="G67" s="0" t="s">
        <v>2062</v>
      </c>
    </row>
    <row customHeight="1" ht="11.25">
      <c r="A68" s="379" t="s">
        <v>16</v>
      </c>
      <c r="B68" s="0" t="s">
        <v>3905</v>
      </c>
      <c r="C68" s="0" t="s">
        <v>3906</v>
      </c>
      <c r="D68" s="0" t="s">
        <v>3947</v>
      </c>
      <c r="E68" s="0" t="s">
        <v>3948</v>
      </c>
      <c r="F68" s="0" t="s">
        <v>3809</v>
      </c>
      <c r="G68" s="0" t="s">
        <v>3949</v>
      </c>
    </row>
    <row customHeight="1" ht="11.25">
      <c r="A69" s="379" t="s">
        <v>16</v>
      </c>
      <c r="B69" s="0" t="s">
        <v>3905</v>
      </c>
      <c r="C69" s="0" t="s">
        <v>3906</v>
      </c>
      <c r="D69" s="0" t="s">
        <v>3950</v>
      </c>
      <c r="E69" s="0" t="s">
        <v>3951</v>
      </c>
      <c r="F69" s="0" t="s">
        <v>3809</v>
      </c>
      <c r="G69" s="0" t="s">
        <v>2265</v>
      </c>
    </row>
    <row customHeight="1" ht="11.25">
      <c r="A70" s="379" t="s">
        <v>16</v>
      </c>
      <c r="B70" s="0" t="s">
        <v>3905</v>
      </c>
      <c r="C70" s="0" t="s">
        <v>3906</v>
      </c>
      <c r="D70" s="0" t="s">
        <v>3952</v>
      </c>
      <c r="E70" s="0" t="s">
        <v>3953</v>
      </c>
      <c r="F70" s="0" t="s">
        <v>3809</v>
      </c>
      <c r="G70" s="0" t="s">
        <v>3954</v>
      </c>
    </row>
    <row customHeight="1" ht="11.25">
      <c r="A71" s="379" t="s">
        <v>16</v>
      </c>
      <c r="B71" s="0" t="s">
        <v>3905</v>
      </c>
      <c r="C71" s="0" t="s">
        <v>3906</v>
      </c>
      <c r="D71" s="0" t="s">
        <v>3955</v>
      </c>
      <c r="E71" s="0" t="s">
        <v>3956</v>
      </c>
      <c r="F71" s="0" t="s">
        <v>3809</v>
      </c>
      <c r="G71" s="0" t="s">
        <v>3957</v>
      </c>
    </row>
    <row customHeight="1" ht="11.25">
      <c r="A72" s="379" t="s">
        <v>16</v>
      </c>
      <c r="B72" s="0" t="s">
        <v>3958</v>
      </c>
      <c r="C72" s="0" t="s">
        <v>3959</v>
      </c>
      <c r="D72" s="0" t="s">
        <v>3960</v>
      </c>
      <c r="E72" s="0" t="s">
        <v>3961</v>
      </c>
      <c r="F72" s="0" t="s">
        <v>3809</v>
      </c>
      <c r="G72" s="0" t="s">
        <v>3962</v>
      </c>
    </row>
    <row customHeight="1" ht="11.25">
      <c r="A73" s="379" t="s">
        <v>16</v>
      </c>
      <c r="B73" s="0" t="s">
        <v>3958</v>
      </c>
      <c r="C73" s="0" t="s">
        <v>3959</v>
      </c>
      <c r="D73" s="0" t="s">
        <v>3958</v>
      </c>
      <c r="E73" s="0" t="s">
        <v>3959</v>
      </c>
      <c r="F73" s="0" t="s">
        <v>3806</v>
      </c>
      <c r="G73" s="0" t="s">
        <v>3963</v>
      </c>
    </row>
    <row customHeight="1" ht="11.25">
      <c r="A74" s="379" t="s">
        <v>16</v>
      </c>
      <c r="B74" s="0" t="s">
        <v>3958</v>
      </c>
      <c r="C74" s="0" t="s">
        <v>3959</v>
      </c>
      <c r="D74" s="0" t="s">
        <v>3964</v>
      </c>
      <c r="E74" s="0" t="s">
        <v>3965</v>
      </c>
      <c r="F74" s="0" t="s">
        <v>3809</v>
      </c>
      <c r="G74" s="0" t="s">
        <v>3966</v>
      </c>
    </row>
    <row customHeight="1" ht="11.25">
      <c r="A75" s="379" t="s">
        <v>16</v>
      </c>
      <c r="B75" s="0" t="s">
        <v>3958</v>
      </c>
      <c r="C75" s="0" t="s">
        <v>3959</v>
      </c>
      <c r="D75" s="0" t="s">
        <v>3967</v>
      </c>
      <c r="E75" s="0" t="s">
        <v>3968</v>
      </c>
      <c r="F75" s="0" t="s">
        <v>3846</v>
      </c>
      <c r="G75" s="0" t="s">
        <v>3969</v>
      </c>
    </row>
    <row customHeight="1" ht="11.25">
      <c r="A76" s="379" t="s">
        <v>16</v>
      </c>
      <c r="B76" s="0" t="s">
        <v>3958</v>
      </c>
      <c r="C76" s="0" t="s">
        <v>3959</v>
      </c>
      <c r="D76" s="0" t="s">
        <v>3970</v>
      </c>
      <c r="E76" s="0" t="s">
        <v>3971</v>
      </c>
      <c r="F76" s="0" t="s">
        <v>3809</v>
      </c>
      <c r="G76" s="0" t="s">
        <v>3972</v>
      </c>
    </row>
    <row customHeight="1" ht="11.25">
      <c r="A77" s="379" t="s">
        <v>16</v>
      </c>
      <c r="B77" s="0" t="s">
        <v>3958</v>
      </c>
      <c r="C77" s="0" t="s">
        <v>3959</v>
      </c>
      <c r="D77" s="0" t="s">
        <v>3973</v>
      </c>
      <c r="E77" s="0" t="s">
        <v>3974</v>
      </c>
      <c r="F77" s="0" t="s">
        <v>3816</v>
      </c>
      <c r="G77" s="0" t="s">
        <v>3975</v>
      </c>
    </row>
    <row customHeight="1" ht="11.25">
      <c r="A78" s="379" t="s">
        <v>16</v>
      </c>
      <c r="B78" s="0" t="s">
        <v>3958</v>
      </c>
      <c r="C78" s="0" t="s">
        <v>3959</v>
      </c>
      <c r="D78" s="0" t="s">
        <v>3976</v>
      </c>
      <c r="E78" s="0" t="s">
        <v>3977</v>
      </c>
      <c r="F78" s="0" t="s">
        <v>3809</v>
      </c>
      <c r="G78" s="0" t="s">
        <v>3978</v>
      </c>
    </row>
    <row customHeight="1" ht="11.25">
      <c r="A79" s="379" t="s">
        <v>16</v>
      </c>
      <c r="B79" s="0" t="s">
        <v>3958</v>
      </c>
      <c r="C79" s="0" t="s">
        <v>3959</v>
      </c>
      <c r="D79" s="0" t="s">
        <v>3979</v>
      </c>
      <c r="E79" s="0" t="s">
        <v>3980</v>
      </c>
      <c r="F79" s="0" t="s">
        <v>3809</v>
      </c>
      <c r="G79" s="0" t="s">
        <v>3981</v>
      </c>
    </row>
    <row customHeight="1" ht="11.25">
      <c r="A80" s="379" t="s">
        <v>16</v>
      </c>
      <c r="B80" s="0" t="s">
        <v>3982</v>
      </c>
      <c r="C80" s="0" t="s">
        <v>3983</v>
      </c>
      <c r="D80" s="0" t="s">
        <v>3984</v>
      </c>
      <c r="E80" s="0" t="s">
        <v>3985</v>
      </c>
      <c r="F80" s="0" t="s">
        <v>3809</v>
      </c>
      <c r="G80" s="0" t="s">
        <v>3986</v>
      </c>
    </row>
    <row customHeight="1" ht="11.25">
      <c r="A81" s="379" t="s">
        <v>16</v>
      </c>
      <c r="B81" s="0" t="s">
        <v>3982</v>
      </c>
      <c r="C81" s="0" t="s">
        <v>3983</v>
      </c>
      <c r="D81" s="0" t="s">
        <v>3960</v>
      </c>
      <c r="E81" s="0" t="s">
        <v>3987</v>
      </c>
      <c r="F81" s="0" t="s">
        <v>3809</v>
      </c>
      <c r="G81" s="0" t="s">
        <v>3988</v>
      </c>
    </row>
    <row customHeight="1" ht="11.25">
      <c r="A82" s="379" t="s">
        <v>16</v>
      </c>
      <c r="B82" s="0" t="s">
        <v>3982</v>
      </c>
      <c r="C82" s="0" t="s">
        <v>3983</v>
      </c>
      <c r="D82" s="0" t="s">
        <v>3989</v>
      </c>
      <c r="E82" s="0" t="s">
        <v>3990</v>
      </c>
      <c r="F82" s="0" t="s">
        <v>3809</v>
      </c>
      <c r="G82" s="0" t="s">
        <v>3991</v>
      </c>
    </row>
    <row customHeight="1" ht="11.25">
      <c r="A83" s="379" t="s">
        <v>16</v>
      </c>
      <c r="B83" s="0" t="s">
        <v>3982</v>
      </c>
      <c r="C83" s="0" t="s">
        <v>3983</v>
      </c>
      <c r="D83" s="0" t="s">
        <v>3992</v>
      </c>
      <c r="E83" s="0" t="s">
        <v>3993</v>
      </c>
      <c r="F83" s="0" t="s">
        <v>3809</v>
      </c>
      <c r="G83" s="0" t="s">
        <v>3994</v>
      </c>
    </row>
    <row customHeight="1" ht="11.25">
      <c r="A84" s="379" t="s">
        <v>16</v>
      </c>
      <c r="B84" s="0" t="s">
        <v>3982</v>
      </c>
      <c r="C84" s="0" t="s">
        <v>3983</v>
      </c>
      <c r="D84" s="0" t="s">
        <v>3995</v>
      </c>
      <c r="E84" s="0" t="s">
        <v>3996</v>
      </c>
      <c r="F84" s="0" t="s">
        <v>3809</v>
      </c>
      <c r="G84" s="0" t="s">
        <v>3997</v>
      </c>
    </row>
    <row customHeight="1" ht="11.25">
      <c r="A85" s="379" t="s">
        <v>16</v>
      </c>
      <c r="B85" s="0" t="s">
        <v>3982</v>
      </c>
      <c r="C85" s="0" t="s">
        <v>3983</v>
      </c>
      <c r="D85" s="0" t="s">
        <v>3982</v>
      </c>
      <c r="E85" s="0" t="s">
        <v>3983</v>
      </c>
      <c r="F85" s="0" t="s">
        <v>3806</v>
      </c>
      <c r="G85" s="0" t="s">
        <v>3998</v>
      </c>
    </row>
    <row customHeight="1" ht="11.25">
      <c r="A86" s="379" t="s">
        <v>16</v>
      </c>
      <c r="B86" s="0" t="s">
        <v>3982</v>
      </c>
      <c r="C86" s="0" t="s">
        <v>3983</v>
      </c>
      <c r="D86" s="0" t="s">
        <v>3999</v>
      </c>
      <c r="E86" s="0" t="s">
        <v>4000</v>
      </c>
      <c r="F86" s="0" t="s">
        <v>3827</v>
      </c>
      <c r="G86" s="0" t="s">
        <v>4001</v>
      </c>
    </row>
    <row customHeight="1" ht="11.25">
      <c r="A87" s="379" t="s">
        <v>16</v>
      </c>
      <c r="B87" s="0" t="s">
        <v>3982</v>
      </c>
      <c r="C87" s="0" t="s">
        <v>3983</v>
      </c>
      <c r="D87" s="0" t="s">
        <v>4002</v>
      </c>
      <c r="E87" s="0" t="s">
        <v>4003</v>
      </c>
      <c r="F87" s="0" t="s">
        <v>3809</v>
      </c>
      <c r="G87" s="0" t="s">
        <v>4004</v>
      </c>
    </row>
    <row customHeight="1" ht="11.25">
      <c r="A88" s="379" t="s">
        <v>16</v>
      </c>
      <c r="B88" s="0" t="s">
        <v>3982</v>
      </c>
      <c r="C88" s="0" t="s">
        <v>3983</v>
      </c>
      <c r="D88" s="0" t="s">
        <v>4005</v>
      </c>
      <c r="E88" s="0" t="s">
        <v>4006</v>
      </c>
      <c r="F88" s="0" t="s">
        <v>3816</v>
      </c>
      <c r="G88" s="0" t="s">
        <v>4007</v>
      </c>
    </row>
    <row customHeight="1" ht="11.25">
      <c r="A89" s="379" t="s">
        <v>16</v>
      </c>
      <c r="B89" s="0" t="s">
        <v>3982</v>
      </c>
      <c r="C89" s="0" t="s">
        <v>3983</v>
      </c>
      <c r="D89" s="0" t="s">
        <v>4008</v>
      </c>
      <c r="E89" s="0" t="s">
        <v>4009</v>
      </c>
      <c r="F89" s="0" t="s">
        <v>3816</v>
      </c>
      <c r="G89" s="0" t="s">
        <v>4010</v>
      </c>
    </row>
    <row customHeight="1" ht="11.25">
      <c r="A90" s="379" t="s">
        <v>16</v>
      </c>
      <c r="B90" s="0" t="s">
        <v>3982</v>
      </c>
      <c r="C90" s="0" t="s">
        <v>3983</v>
      </c>
      <c r="D90" s="0" t="s">
        <v>4011</v>
      </c>
      <c r="E90" s="0" t="s">
        <v>4012</v>
      </c>
      <c r="F90" s="0" t="s">
        <v>3809</v>
      </c>
      <c r="G90" s="0" t="s">
        <v>4013</v>
      </c>
    </row>
    <row customHeight="1" ht="11.25">
      <c r="A91" s="379" t="s">
        <v>16</v>
      </c>
      <c r="B91" s="0" t="s">
        <v>3982</v>
      </c>
      <c r="C91" s="0" t="s">
        <v>3983</v>
      </c>
      <c r="D91" s="0" t="s">
        <v>4014</v>
      </c>
      <c r="E91" s="0" t="s">
        <v>4015</v>
      </c>
      <c r="F91" s="0" t="s">
        <v>3809</v>
      </c>
      <c r="G91" s="0" t="s">
        <v>4016</v>
      </c>
    </row>
    <row customHeight="1" ht="11.25">
      <c r="A92" s="379" t="s">
        <v>16</v>
      </c>
      <c r="B92" s="0" t="s">
        <v>3982</v>
      </c>
      <c r="C92" s="0" t="s">
        <v>3983</v>
      </c>
      <c r="D92" s="0" t="s">
        <v>4017</v>
      </c>
      <c r="E92" s="0" t="s">
        <v>4018</v>
      </c>
      <c r="F92" s="0" t="s">
        <v>3809</v>
      </c>
      <c r="G92" s="0" t="s">
        <v>4019</v>
      </c>
    </row>
    <row customHeight="1" ht="11.25">
      <c r="A93" s="379" t="s">
        <v>16</v>
      </c>
      <c r="B93" s="0" t="s">
        <v>3982</v>
      </c>
      <c r="C93" s="0" t="s">
        <v>3983</v>
      </c>
      <c r="D93" s="0" t="s">
        <v>4020</v>
      </c>
      <c r="E93" s="0" t="s">
        <v>4021</v>
      </c>
      <c r="F93" s="0" t="s">
        <v>3809</v>
      </c>
      <c r="G93" s="0" t="s">
        <v>4022</v>
      </c>
    </row>
    <row customHeight="1" ht="11.25">
      <c r="A94" s="379" t="s">
        <v>16</v>
      </c>
      <c r="B94" s="0" t="s">
        <v>3982</v>
      </c>
      <c r="C94" s="0" t="s">
        <v>3983</v>
      </c>
      <c r="D94" s="0" t="s">
        <v>4023</v>
      </c>
      <c r="E94" s="0" t="s">
        <v>4024</v>
      </c>
      <c r="F94" s="0" t="s">
        <v>3809</v>
      </c>
      <c r="G94" s="0" t="s">
        <v>4025</v>
      </c>
    </row>
    <row customHeight="1" ht="11.25">
      <c r="A95" s="379" t="s">
        <v>16</v>
      </c>
      <c r="B95" s="0" t="s">
        <v>3982</v>
      </c>
      <c r="C95" s="0" t="s">
        <v>3983</v>
      </c>
      <c r="D95" s="0" t="s">
        <v>4026</v>
      </c>
      <c r="E95" s="0" t="s">
        <v>4027</v>
      </c>
      <c r="F95" s="0" t="s">
        <v>3809</v>
      </c>
      <c r="G95" s="0" t="s">
        <v>4028</v>
      </c>
    </row>
    <row customHeight="1" ht="11.25">
      <c r="A96" s="379" t="s">
        <v>16</v>
      </c>
      <c r="B96" s="0" t="s">
        <v>3982</v>
      </c>
      <c r="C96" s="0" t="s">
        <v>3983</v>
      </c>
      <c r="D96" s="0" t="s">
        <v>4029</v>
      </c>
      <c r="E96" s="0" t="s">
        <v>4030</v>
      </c>
      <c r="F96" s="0" t="s">
        <v>3809</v>
      </c>
      <c r="G96" s="0" t="s">
        <v>4031</v>
      </c>
    </row>
    <row customHeight="1" ht="11.25">
      <c r="A97" s="379" t="s">
        <v>16</v>
      </c>
      <c r="B97" s="0" t="s">
        <v>3982</v>
      </c>
      <c r="C97" s="0" t="s">
        <v>3983</v>
      </c>
      <c r="D97" s="0" t="s">
        <v>4032</v>
      </c>
      <c r="E97" s="0" t="s">
        <v>4033</v>
      </c>
      <c r="F97" s="0" t="s">
        <v>3809</v>
      </c>
      <c r="G97" s="0" t="s">
        <v>4034</v>
      </c>
    </row>
    <row customHeight="1" ht="11.25">
      <c r="A98" s="379" t="s">
        <v>16</v>
      </c>
      <c r="B98" s="0" t="s">
        <v>4035</v>
      </c>
      <c r="C98" s="0" t="s">
        <v>4036</v>
      </c>
      <c r="D98" s="0" t="s">
        <v>3960</v>
      </c>
      <c r="E98" s="0" t="s">
        <v>4037</v>
      </c>
      <c r="F98" s="0" t="s">
        <v>3809</v>
      </c>
      <c r="G98" s="0" t="s">
        <v>4038</v>
      </c>
    </row>
    <row customHeight="1" ht="11.25">
      <c r="A99" s="379" t="s">
        <v>16</v>
      </c>
      <c r="B99" s="0" t="s">
        <v>4035</v>
      </c>
      <c r="C99" s="0" t="s">
        <v>4036</v>
      </c>
      <c r="D99" s="0" t="s">
        <v>4039</v>
      </c>
      <c r="E99" s="0" t="s">
        <v>4040</v>
      </c>
      <c r="F99" s="0" t="s">
        <v>3809</v>
      </c>
      <c r="G99" s="0" t="s">
        <v>4041</v>
      </c>
    </row>
    <row customHeight="1" ht="11.25">
      <c r="A100" s="379" t="s">
        <v>16</v>
      </c>
      <c r="B100" s="0" t="s">
        <v>4035</v>
      </c>
      <c r="C100" s="0" t="s">
        <v>4036</v>
      </c>
      <c r="D100" s="0" t="s">
        <v>4042</v>
      </c>
      <c r="E100" s="0" t="s">
        <v>4043</v>
      </c>
      <c r="F100" s="0" t="s">
        <v>3809</v>
      </c>
      <c r="G100" s="0" t="s">
        <v>4044</v>
      </c>
    </row>
    <row customHeight="1" ht="11.25">
      <c r="A101" s="379" t="s">
        <v>16</v>
      </c>
      <c r="B101" s="0" t="s">
        <v>4035</v>
      </c>
      <c r="C101" s="0" t="s">
        <v>4036</v>
      </c>
      <c r="D101" s="0" t="s">
        <v>3891</v>
      </c>
      <c r="E101" s="0" t="s">
        <v>4045</v>
      </c>
      <c r="F101" s="0" t="s">
        <v>3809</v>
      </c>
      <c r="G101" s="0" t="s">
        <v>4046</v>
      </c>
    </row>
    <row customHeight="1" ht="11.25">
      <c r="A102" s="379" t="s">
        <v>16</v>
      </c>
      <c r="B102" s="0" t="s">
        <v>4035</v>
      </c>
      <c r="C102" s="0" t="s">
        <v>4036</v>
      </c>
      <c r="D102" s="0" t="s">
        <v>4035</v>
      </c>
      <c r="E102" s="0" t="s">
        <v>4036</v>
      </c>
      <c r="F102" s="0" t="s">
        <v>3806</v>
      </c>
      <c r="G102" s="0" t="s">
        <v>4047</v>
      </c>
    </row>
    <row customHeight="1" ht="11.25">
      <c r="A103" s="379" t="s">
        <v>16</v>
      </c>
      <c r="B103" s="0" t="s">
        <v>4035</v>
      </c>
      <c r="C103" s="0" t="s">
        <v>4036</v>
      </c>
      <c r="D103" s="0" t="s">
        <v>4048</v>
      </c>
      <c r="E103" s="0" t="s">
        <v>4049</v>
      </c>
      <c r="F103" s="0" t="s">
        <v>3827</v>
      </c>
      <c r="G103" s="0" t="s">
        <v>4050</v>
      </c>
    </row>
    <row customHeight="1" ht="11.25">
      <c r="A104" s="379" t="s">
        <v>16</v>
      </c>
      <c r="B104" s="0" t="s">
        <v>4035</v>
      </c>
      <c r="C104" s="0" t="s">
        <v>4036</v>
      </c>
      <c r="D104" s="0" t="s">
        <v>4051</v>
      </c>
      <c r="E104" s="0" t="s">
        <v>4052</v>
      </c>
      <c r="F104" s="0" t="s">
        <v>3809</v>
      </c>
      <c r="G104" s="0" t="s">
        <v>4053</v>
      </c>
    </row>
    <row customHeight="1" ht="11.25">
      <c r="A105" s="379" t="s">
        <v>16</v>
      </c>
      <c r="B105" s="0" t="s">
        <v>4035</v>
      </c>
      <c r="C105" s="0" t="s">
        <v>4036</v>
      </c>
      <c r="D105" s="0" t="s">
        <v>4054</v>
      </c>
      <c r="E105" s="0" t="s">
        <v>4055</v>
      </c>
      <c r="F105" s="0" t="s">
        <v>3809</v>
      </c>
      <c r="G105" s="0" t="s">
        <v>4056</v>
      </c>
    </row>
    <row customHeight="1" ht="11.25">
      <c r="A106" s="379" t="s">
        <v>16</v>
      </c>
      <c r="B106" s="0" t="s">
        <v>4035</v>
      </c>
      <c r="C106" s="0" t="s">
        <v>4036</v>
      </c>
      <c r="D106" s="0" t="s">
        <v>4057</v>
      </c>
      <c r="E106" s="0" t="s">
        <v>4058</v>
      </c>
      <c r="F106" s="0" t="s">
        <v>3809</v>
      </c>
      <c r="G106" s="0" t="s">
        <v>4059</v>
      </c>
    </row>
    <row customHeight="1" ht="11.25">
      <c r="A107" s="379" t="s">
        <v>16</v>
      </c>
      <c r="B107" s="0" t="s">
        <v>4035</v>
      </c>
      <c r="C107" s="0" t="s">
        <v>4036</v>
      </c>
      <c r="D107" s="0" t="s">
        <v>4060</v>
      </c>
      <c r="E107" s="0" t="s">
        <v>4061</v>
      </c>
      <c r="F107" s="0" t="s">
        <v>3809</v>
      </c>
      <c r="G107" s="0" t="s">
        <v>4062</v>
      </c>
    </row>
    <row customHeight="1" ht="11.25">
      <c r="A108" s="379" t="s">
        <v>16</v>
      </c>
      <c r="B108" s="0" t="s">
        <v>4035</v>
      </c>
      <c r="C108" s="0" t="s">
        <v>4036</v>
      </c>
      <c r="D108" s="0" t="s">
        <v>4063</v>
      </c>
      <c r="E108" s="0" t="s">
        <v>4064</v>
      </c>
      <c r="F108" s="0" t="s">
        <v>3809</v>
      </c>
      <c r="G108" s="0" t="s">
        <v>4065</v>
      </c>
    </row>
    <row customHeight="1" ht="11.25">
      <c r="A109" s="379" t="s">
        <v>16</v>
      </c>
      <c r="B109" s="0" t="s">
        <v>4035</v>
      </c>
      <c r="C109" s="0" t="s">
        <v>4036</v>
      </c>
      <c r="D109" s="0" t="s">
        <v>4066</v>
      </c>
      <c r="E109" s="0" t="s">
        <v>4067</v>
      </c>
      <c r="F109" s="0" t="s">
        <v>3809</v>
      </c>
      <c r="G109" s="0" t="s">
        <v>4068</v>
      </c>
    </row>
    <row customHeight="1" ht="11.25">
      <c r="A110" s="379" t="s">
        <v>16</v>
      </c>
      <c r="B110" s="0" t="s">
        <v>4035</v>
      </c>
      <c r="C110" s="0" t="s">
        <v>4036</v>
      </c>
      <c r="D110" s="0" t="s">
        <v>4069</v>
      </c>
      <c r="E110" s="0" t="s">
        <v>4070</v>
      </c>
      <c r="F110" s="0" t="s">
        <v>3809</v>
      </c>
      <c r="G110" s="0" t="s">
        <v>4071</v>
      </c>
    </row>
    <row customHeight="1" ht="11.25">
      <c r="A111" s="379" t="s">
        <v>16</v>
      </c>
      <c r="B111" s="0" t="s">
        <v>4035</v>
      </c>
      <c r="C111" s="0" t="s">
        <v>4036</v>
      </c>
      <c r="D111" s="0" t="s">
        <v>4072</v>
      </c>
      <c r="E111" s="0" t="s">
        <v>4073</v>
      </c>
      <c r="F111" s="0" t="s">
        <v>3816</v>
      </c>
      <c r="G111" s="0" t="s">
        <v>4074</v>
      </c>
    </row>
    <row customHeight="1" ht="11.25">
      <c r="A112" s="379" t="s">
        <v>16</v>
      </c>
      <c r="B112" s="0" t="s">
        <v>4035</v>
      </c>
      <c r="C112" s="0" t="s">
        <v>4036</v>
      </c>
      <c r="D112" s="0" t="s">
        <v>4075</v>
      </c>
      <c r="E112" s="0" t="s">
        <v>4076</v>
      </c>
      <c r="F112" s="0" t="s">
        <v>3809</v>
      </c>
      <c r="G112" s="0" t="s">
        <v>4077</v>
      </c>
    </row>
    <row customHeight="1" ht="11.25">
      <c r="A113" s="379" t="s">
        <v>16</v>
      </c>
      <c r="B113" s="0" t="s">
        <v>4035</v>
      </c>
      <c r="C113" s="0" t="s">
        <v>4036</v>
      </c>
      <c r="D113" s="0" t="s">
        <v>4078</v>
      </c>
      <c r="E113" s="0" t="s">
        <v>4079</v>
      </c>
      <c r="F113" s="0" t="s">
        <v>3809</v>
      </c>
      <c r="G113" s="0" t="s">
        <v>4080</v>
      </c>
    </row>
    <row customHeight="1" ht="11.25">
      <c r="A114" s="379" t="s">
        <v>16</v>
      </c>
      <c r="B114" s="0" t="s">
        <v>4035</v>
      </c>
      <c r="C114" s="0" t="s">
        <v>4036</v>
      </c>
      <c r="D114" s="0" t="s">
        <v>4081</v>
      </c>
      <c r="E114" s="0" t="s">
        <v>4082</v>
      </c>
      <c r="F114" s="0" t="s">
        <v>3809</v>
      </c>
      <c r="G114" s="0" t="s">
        <v>4083</v>
      </c>
    </row>
    <row customHeight="1" ht="11.25">
      <c r="A115" s="379" t="s">
        <v>16</v>
      </c>
      <c r="B115" s="0" t="s">
        <v>4035</v>
      </c>
      <c r="C115" s="0" t="s">
        <v>4036</v>
      </c>
      <c r="D115" s="0" t="s">
        <v>4084</v>
      </c>
      <c r="E115" s="0" t="s">
        <v>4085</v>
      </c>
      <c r="F115" s="0" t="s">
        <v>3809</v>
      </c>
      <c r="G115" s="0" t="s">
        <v>4086</v>
      </c>
    </row>
    <row customHeight="1" ht="11.25">
      <c r="A116" s="379" t="s">
        <v>16</v>
      </c>
      <c r="B116" s="0" t="s">
        <v>4035</v>
      </c>
      <c r="C116" s="0" t="s">
        <v>4036</v>
      </c>
      <c r="D116" s="0" t="s">
        <v>4087</v>
      </c>
      <c r="E116" s="0" t="s">
        <v>4088</v>
      </c>
      <c r="F116" s="0" t="s">
        <v>3809</v>
      </c>
      <c r="G116" s="0" t="s">
        <v>4089</v>
      </c>
    </row>
    <row customHeight="1" ht="11.25">
      <c r="A117" s="379" t="s">
        <v>16</v>
      </c>
      <c r="B117" s="0" t="s">
        <v>4035</v>
      </c>
      <c r="C117" s="0" t="s">
        <v>4036</v>
      </c>
      <c r="D117" s="0" t="s">
        <v>4090</v>
      </c>
      <c r="E117" s="0" t="s">
        <v>4091</v>
      </c>
      <c r="F117" s="0" t="s">
        <v>3809</v>
      </c>
      <c r="G117" s="0" t="s">
        <v>4092</v>
      </c>
    </row>
    <row customHeight="1" ht="11.25">
      <c r="A118" s="379" t="s">
        <v>16</v>
      </c>
      <c r="B118" s="0" t="s">
        <v>4035</v>
      </c>
      <c r="C118" s="0" t="s">
        <v>4036</v>
      </c>
      <c r="D118" s="0" t="s">
        <v>4093</v>
      </c>
      <c r="E118" s="0" t="s">
        <v>4094</v>
      </c>
      <c r="F118" s="0" t="s">
        <v>3809</v>
      </c>
      <c r="G118" s="0" t="s">
        <v>4095</v>
      </c>
    </row>
    <row customHeight="1" ht="11.25">
      <c r="A119" s="379" t="s">
        <v>16</v>
      </c>
      <c r="B119" s="0" t="s">
        <v>4035</v>
      </c>
      <c r="C119" s="0" t="s">
        <v>4036</v>
      </c>
      <c r="D119" s="0" t="s">
        <v>4096</v>
      </c>
      <c r="E119" s="0" t="s">
        <v>4097</v>
      </c>
      <c r="F119" s="0" t="s">
        <v>3809</v>
      </c>
      <c r="G119" s="0" t="s">
        <v>4098</v>
      </c>
    </row>
    <row customHeight="1" ht="11.25">
      <c r="A120" s="379" t="s">
        <v>16</v>
      </c>
      <c r="B120" s="0" t="s">
        <v>4099</v>
      </c>
      <c r="C120" s="0" t="s">
        <v>4100</v>
      </c>
      <c r="D120" s="0" t="s">
        <v>4101</v>
      </c>
      <c r="E120" s="0" t="s">
        <v>4102</v>
      </c>
      <c r="F120" s="0" t="s">
        <v>3809</v>
      </c>
      <c r="G120" s="0" t="s">
        <v>4103</v>
      </c>
    </row>
    <row customHeight="1" ht="11.25">
      <c r="A121" s="379" t="s">
        <v>16</v>
      </c>
      <c r="B121" s="0" t="s">
        <v>4099</v>
      </c>
      <c r="C121" s="0" t="s">
        <v>4100</v>
      </c>
      <c r="D121" s="0" t="s">
        <v>4104</v>
      </c>
      <c r="E121" s="0" t="s">
        <v>4105</v>
      </c>
      <c r="F121" s="0" t="s">
        <v>3809</v>
      </c>
      <c r="G121" s="0" t="s">
        <v>4106</v>
      </c>
    </row>
    <row customHeight="1" ht="11.25">
      <c r="A122" s="379" t="s">
        <v>16</v>
      </c>
      <c r="B122" s="0" t="s">
        <v>4099</v>
      </c>
      <c r="C122" s="0" t="s">
        <v>4100</v>
      </c>
      <c r="D122" s="0" t="s">
        <v>4099</v>
      </c>
      <c r="E122" s="0" t="s">
        <v>4100</v>
      </c>
      <c r="F122" s="0" t="s">
        <v>3806</v>
      </c>
      <c r="G122" s="0" t="s">
        <v>4107</v>
      </c>
    </row>
    <row customHeight="1" ht="11.25">
      <c r="A123" s="379" t="s">
        <v>16</v>
      </c>
      <c r="B123" s="0" t="s">
        <v>4099</v>
      </c>
      <c r="C123" s="0" t="s">
        <v>4100</v>
      </c>
      <c r="D123" s="0" t="s">
        <v>4108</v>
      </c>
      <c r="E123" s="0" t="s">
        <v>4109</v>
      </c>
      <c r="F123" s="0" t="s">
        <v>3809</v>
      </c>
      <c r="G123" s="0" t="s">
        <v>4110</v>
      </c>
    </row>
    <row customHeight="1" ht="11.25">
      <c r="A124" s="379" t="s">
        <v>16</v>
      </c>
      <c r="B124" s="0" t="s">
        <v>4099</v>
      </c>
      <c r="C124" s="0" t="s">
        <v>4100</v>
      </c>
      <c r="D124" s="0" t="s">
        <v>4111</v>
      </c>
      <c r="E124" s="0" t="s">
        <v>4112</v>
      </c>
      <c r="F124" s="0" t="s">
        <v>3809</v>
      </c>
      <c r="G124" s="0" t="s">
        <v>4113</v>
      </c>
    </row>
    <row customHeight="1" ht="11.25">
      <c r="A125" s="379" t="s">
        <v>16</v>
      </c>
      <c r="B125" s="0" t="s">
        <v>4099</v>
      </c>
      <c r="C125" s="0" t="s">
        <v>4100</v>
      </c>
      <c r="D125" s="0" t="s">
        <v>4114</v>
      </c>
      <c r="E125" s="0" t="s">
        <v>4115</v>
      </c>
      <c r="F125" s="0" t="s">
        <v>3809</v>
      </c>
      <c r="G125" s="0" t="s">
        <v>4116</v>
      </c>
    </row>
    <row customHeight="1" ht="11.25">
      <c r="A126" s="379" t="s">
        <v>16</v>
      </c>
      <c r="B126" s="0" t="s">
        <v>4099</v>
      </c>
      <c r="C126" s="0" t="s">
        <v>4100</v>
      </c>
      <c r="D126" s="0" t="s">
        <v>4117</v>
      </c>
      <c r="E126" s="0" t="s">
        <v>4118</v>
      </c>
      <c r="F126" s="0" t="s">
        <v>3809</v>
      </c>
      <c r="G126" s="0" t="s">
        <v>4119</v>
      </c>
    </row>
    <row customHeight="1" ht="11.25">
      <c r="A127" s="379" t="s">
        <v>16</v>
      </c>
      <c r="B127" s="0" t="s">
        <v>4099</v>
      </c>
      <c r="C127" s="0" t="s">
        <v>4100</v>
      </c>
      <c r="D127" s="0" t="s">
        <v>4120</v>
      </c>
      <c r="E127" s="0" t="s">
        <v>4121</v>
      </c>
      <c r="F127" s="0" t="s">
        <v>3809</v>
      </c>
      <c r="G127" s="0" t="s">
        <v>4122</v>
      </c>
    </row>
    <row customHeight="1" ht="11.25">
      <c r="A128" s="379" t="s">
        <v>16</v>
      </c>
      <c r="B128" s="0" t="s">
        <v>4099</v>
      </c>
      <c r="C128" s="0" t="s">
        <v>4100</v>
      </c>
      <c r="D128" s="0" t="s">
        <v>4123</v>
      </c>
      <c r="E128" s="0" t="s">
        <v>4124</v>
      </c>
      <c r="F128" s="0" t="s">
        <v>3809</v>
      </c>
      <c r="G128" s="0" t="s">
        <v>4125</v>
      </c>
    </row>
    <row customHeight="1" ht="11.25">
      <c r="A129" s="379" t="s">
        <v>16</v>
      </c>
      <c r="B129" s="0" t="s">
        <v>4099</v>
      </c>
      <c r="C129" s="0" t="s">
        <v>4100</v>
      </c>
      <c r="D129" s="0" t="s">
        <v>4126</v>
      </c>
      <c r="E129" s="0" t="s">
        <v>4127</v>
      </c>
      <c r="F129" s="0" t="s">
        <v>3809</v>
      </c>
      <c r="G129" s="0" t="s">
        <v>4128</v>
      </c>
    </row>
    <row customHeight="1" ht="11.25">
      <c r="A130" s="379" t="s">
        <v>16</v>
      </c>
      <c r="B130" s="0" t="s">
        <v>4129</v>
      </c>
      <c r="C130" s="0" t="s">
        <v>4130</v>
      </c>
      <c r="D130" s="0" t="s">
        <v>4129</v>
      </c>
      <c r="E130" s="0" t="s">
        <v>4130</v>
      </c>
      <c r="F130" s="0" t="s">
        <v>4131</v>
      </c>
      <c r="G130" s="0" t="s">
        <v>4132</v>
      </c>
    </row>
    <row customHeight="1" ht="11.25">
      <c r="A131" s="379" t="s">
        <v>16</v>
      </c>
      <c r="B131" s="0" t="s">
        <v>4133</v>
      </c>
      <c r="C131" s="0" t="s">
        <v>4134</v>
      </c>
      <c r="D131" s="0" t="s">
        <v>4133</v>
      </c>
      <c r="E131" s="0" t="s">
        <v>4134</v>
      </c>
      <c r="F131" s="0" t="s">
        <v>4131</v>
      </c>
      <c r="G131" s="0" t="s">
        <v>4135</v>
      </c>
    </row>
    <row customHeight="1" ht="11.25">
      <c r="A132" s="379" t="s">
        <v>16</v>
      </c>
      <c r="B132" s="0" t="s">
        <v>4136</v>
      </c>
      <c r="C132" s="0" t="s">
        <v>4137</v>
      </c>
      <c r="D132" s="0" t="s">
        <v>4138</v>
      </c>
      <c r="E132" s="0" t="s">
        <v>4139</v>
      </c>
      <c r="F132" s="0" t="s">
        <v>3809</v>
      </c>
      <c r="G132" s="0" t="s">
        <v>4140</v>
      </c>
    </row>
    <row customHeight="1" ht="11.25">
      <c r="A133" s="379" t="s">
        <v>16</v>
      </c>
      <c r="B133" s="0" t="s">
        <v>4136</v>
      </c>
      <c r="C133" s="0" t="s">
        <v>4137</v>
      </c>
      <c r="D133" s="0" t="s">
        <v>4136</v>
      </c>
      <c r="E133" s="0" t="s">
        <v>4137</v>
      </c>
      <c r="F133" s="0" t="s">
        <v>3806</v>
      </c>
      <c r="G133" s="0" t="s">
        <v>4141</v>
      </c>
    </row>
    <row customHeight="1" ht="11.25">
      <c r="A134" s="379" t="s">
        <v>16</v>
      </c>
      <c r="B134" s="0" t="s">
        <v>4136</v>
      </c>
      <c r="C134" s="0" t="s">
        <v>4137</v>
      </c>
      <c r="D134" s="0" t="s">
        <v>4142</v>
      </c>
      <c r="E134" s="0" t="s">
        <v>4143</v>
      </c>
      <c r="F134" s="0" t="s">
        <v>3809</v>
      </c>
      <c r="G134" s="0" t="s">
        <v>4144</v>
      </c>
    </row>
    <row customHeight="1" ht="11.25">
      <c r="A135" s="379" t="s">
        <v>16</v>
      </c>
      <c r="B135" s="0" t="s">
        <v>4136</v>
      </c>
      <c r="C135" s="0" t="s">
        <v>4137</v>
      </c>
      <c r="D135" s="0" t="s">
        <v>4145</v>
      </c>
      <c r="E135" s="0" t="s">
        <v>4146</v>
      </c>
      <c r="F135" s="0" t="s">
        <v>3809</v>
      </c>
      <c r="G135" s="0" t="s">
        <v>4147</v>
      </c>
    </row>
    <row customHeight="1" ht="11.25">
      <c r="A136" s="379" t="s">
        <v>16</v>
      </c>
      <c r="B136" s="0" t="s">
        <v>4136</v>
      </c>
      <c r="C136" s="0" t="s">
        <v>4137</v>
      </c>
      <c r="D136" s="0" t="s">
        <v>4148</v>
      </c>
      <c r="E136" s="0" t="s">
        <v>4149</v>
      </c>
      <c r="F136" s="0" t="s">
        <v>3846</v>
      </c>
      <c r="G136" s="0" t="s">
        <v>4150</v>
      </c>
    </row>
    <row customHeight="1" ht="11.25">
      <c r="A137" s="379" t="s">
        <v>16</v>
      </c>
      <c r="B137" s="0" t="s">
        <v>4136</v>
      </c>
      <c r="C137" s="0" t="s">
        <v>4137</v>
      </c>
      <c r="D137" s="0" t="s">
        <v>4151</v>
      </c>
      <c r="E137" s="0" t="s">
        <v>4152</v>
      </c>
      <c r="F137" s="0" t="s">
        <v>3809</v>
      </c>
      <c r="G137" s="0" t="s">
        <v>4153</v>
      </c>
    </row>
    <row customHeight="1" ht="11.25">
      <c r="A138" s="379" t="s">
        <v>16</v>
      </c>
      <c r="B138" s="0" t="s">
        <v>4154</v>
      </c>
      <c r="C138" s="0" t="s">
        <v>4155</v>
      </c>
      <c r="D138" s="0" t="s">
        <v>4156</v>
      </c>
      <c r="E138" s="0" t="s">
        <v>4157</v>
      </c>
      <c r="F138" s="0" t="s">
        <v>3809</v>
      </c>
      <c r="G138" s="0" t="s">
        <v>4158</v>
      </c>
    </row>
    <row customHeight="1" ht="11.25">
      <c r="A139" s="379" t="s">
        <v>16</v>
      </c>
      <c r="B139" s="0" t="s">
        <v>4154</v>
      </c>
      <c r="C139" s="0" t="s">
        <v>4155</v>
      </c>
      <c r="D139" s="0" t="s">
        <v>4159</v>
      </c>
      <c r="E139" s="0" t="s">
        <v>4160</v>
      </c>
      <c r="F139" s="0" t="s">
        <v>3809</v>
      </c>
      <c r="G139" s="0" t="s">
        <v>4161</v>
      </c>
    </row>
    <row customHeight="1" ht="11.25">
      <c r="A140" s="379" t="s">
        <v>16</v>
      </c>
      <c r="B140" s="0" t="s">
        <v>4154</v>
      </c>
      <c r="C140" s="0" t="s">
        <v>4155</v>
      </c>
      <c r="D140" s="0" t="s">
        <v>4154</v>
      </c>
      <c r="E140" s="0" t="s">
        <v>4155</v>
      </c>
      <c r="F140" s="0" t="s">
        <v>3806</v>
      </c>
      <c r="G140" s="0" t="s">
        <v>4162</v>
      </c>
    </row>
    <row customHeight="1" ht="11.25">
      <c r="A141" s="379" t="s">
        <v>16</v>
      </c>
      <c r="B141" s="0" t="s">
        <v>4154</v>
      </c>
      <c r="C141" s="0" t="s">
        <v>4155</v>
      </c>
      <c r="D141" s="0" t="s">
        <v>4163</v>
      </c>
      <c r="E141" s="0" t="s">
        <v>4164</v>
      </c>
      <c r="F141" s="0" t="s">
        <v>3809</v>
      </c>
      <c r="G141" s="0" t="s">
        <v>4165</v>
      </c>
    </row>
    <row customHeight="1" ht="11.25">
      <c r="A142" s="379" t="s">
        <v>16</v>
      </c>
      <c r="B142" s="0" t="s">
        <v>4154</v>
      </c>
      <c r="C142" s="0" t="s">
        <v>4155</v>
      </c>
      <c r="D142" s="0" t="s">
        <v>4166</v>
      </c>
      <c r="E142" s="0" t="s">
        <v>4167</v>
      </c>
      <c r="F142" s="0" t="s">
        <v>3809</v>
      </c>
      <c r="G142" s="0" t="s">
        <v>4168</v>
      </c>
    </row>
    <row customHeight="1" ht="11.25">
      <c r="A143" s="379" t="s">
        <v>16</v>
      </c>
      <c r="B143" s="0" t="s">
        <v>4154</v>
      </c>
      <c r="C143" s="0" t="s">
        <v>4155</v>
      </c>
      <c r="D143" s="0" t="s">
        <v>4169</v>
      </c>
      <c r="E143" s="0" t="s">
        <v>4170</v>
      </c>
      <c r="F143" s="0" t="s">
        <v>3809</v>
      </c>
      <c r="G143" s="0" t="s">
        <v>4171</v>
      </c>
    </row>
    <row customHeight="1" ht="11.25">
      <c r="A144" s="379" t="s">
        <v>16</v>
      </c>
      <c r="B144" s="0" t="s">
        <v>4154</v>
      </c>
      <c r="C144" s="0" t="s">
        <v>4155</v>
      </c>
      <c r="D144" s="0" t="s">
        <v>4172</v>
      </c>
      <c r="E144" s="0" t="s">
        <v>4173</v>
      </c>
      <c r="F144" s="0" t="s">
        <v>3809</v>
      </c>
      <c r="G144" s="0" t="s">
        <v>4174</v>
      </c>
    </row>
    <row customHeight="1" ht="11.25">
      <c r="A145" s="379" t="s">
        <v>16</v>
      </c>
      <c r="B145" s="0" t="s">
        <v>4154</v>
      </c>
      <c r="C145" s="0" t="s">
        <v>4155</v>
      </c>
      <c r="D145" s="0" t="s">
        <v>4175</v>
      </c>
      <c r="E145" s="0" t="s">
        <v>4176</v>
      </c>
      <c r="F145" s="0" t="s">
        <v>3809</v>
      </c>
      <c r="G145" s="0" t="s">
        <v>4177</v>
      </c>
    </row>
    <row customHeight="1" ht="11.25">
      <c r="A146" s="379" t="s">
        <v>16</v>
      </c>
      <c r="B146" s="0" t="s">
        <v>4154</v>
      </c>
      <c r="C146" s="0" t="s">
        <v>4155</v>
      </c>
      <c r="D146" s="0" t="s">
        <v>4178</v>
      </c>
      <c r="E146" s="0" t="s">
        <v>4179</v>
      </c>
      <c r="F146" s="0" t="s">
        <v>3846</v>
      </c>
      <c r="G146" s="0" t="s">
        <v>4180</v>
      </c>
    </row>
    <row customHeight="1" ht="11.25">
      <c r="A147" s="379" t="s">
        <v>16</v>
      </c>
      <c r="B147" s="0" t="s">
        <v>4154</v>
      </c>
      <c r="C147" s="0" t="s">
        <v>4155</v>
      </c>
      <c r="D147" s="0" t="s">
        <v>4181</v>
      </c>
      <c r="E147" s="0" t="s">
        <v>4182</v>
      </c>
      <c r="F147" s="0" t="s">
        <v>3809</v>
      </c>
      <c r="G147" s="0" t="s">
        <v>4183</v>
      </c>
    </row>
    <row customHeight="1" ht="11.25">
      <c r="A148" s="379" t="s">
        <v>16</v>
      </c>
      <c r="B148" s="0" t="s">
        <v>4154</v>
      </c>
      <c r="C148" s="0" t="s">
        <v>4155</v>
      </c>
      <c r="D148" s="0" t="s">
        <v>4184</v>
      </c>
      <c r="E148" s="0" t="s">
        <v>4185</v>
      </c>
      <c r="F148" s="0" t="s">
        <v>3809</v>
      </c>
      <c r="G148" s="0" t="s">
        <v>4186</v>
      </c>
    </row>
    <row customHeight="1" ht="11.25">
      <c r="A149" s="379" t="s">
        <v>16</v>
      </c>
      <c r="B149" s="0" t="s">
        <v>4154</v>
      </c>
      <c r="C149" s="0" t="s">
        <v>4155</v>
      </c>
      <c r="D149" s="0" t="s">
        <v>4187</v>
      </c>
      <c r="E149" s="0" t="s">
        <v>4188</v>
      </c>
      <c r="F149" s="0" t="s">
        <v>3816</v>
      </c>
      <c r="G149" s="0" t="s">
        <v>4189</v>
      </c>
    </row>
    <row customHeight="1" ht="11.25">
      <c r="A150" s="379" t="s">
        <v>16</v>
      </c>
      <c r="B150" s="0" t="s">
        <v>4154</v>
      </c>
      <c r="C150" s="0" t="s">
        <v>4155</v>
      </c>
      <c r="D150" s="0" t="s">
        <v>4190</v>
      </c>
      <c r="E150" s="0" t="s">
        <v>4191</v>
      </c>
      <c r="F150" s="0" t="s">
        <v>3809</v>
      </c>
      <c r="G150" s="0" t="s">
        <v>4192</v>
      </c>
    </row>
    <row customHeight="1" ht="11.25">
      <c r="A151" s="379" t="s">
        <v>16</v>
      </c>
      <c r="B151" s="0" t="s">
        <v>4154</v>
      </c>
      <c r="C151" s="0" t="s">
        <v>4155</v>
      </c>
      <c r="D151" s="0" t="s">
        <v>4193</v>
      </c>
      <c r="E151" s="0" t="s">
        <v>4194</v>
      </c>
      <c r="F151" s="0" t="s">
        <v>3809</v>
      </c>
      <c r="G151" s="0" t="s">
        <v>4195</v>
      </c>
    </row>
    <row customHeight="1" ht="11.25">
      <c r="A152" s="379" t="s">
        <v>16</v>
      </c>
      <c r="B152" s="0" t="s">
        <v>4196</v>
      </c>
      <c r="C152" s="0" t="s">
        <v>4197</v>
      </c>
      <c r="D152" s="0" t="s">
        <v>4198</v>
      </c>
      <c r="E152" s="0" t="s">
        <v>4199</v>
      </c>
      <c r="F152" s="0" t="s">
        <v>3809</v>
      </c>
      <c r="G152" s="0" t="s">
        <v>4200</v>
      </c>
    </row>
    <row customHeight="1" ht="11.25">
      <c r="A153" s="379" t="s">
        <v>16</v>
      </c>
      <c r="B153" s="0" t="s">
        <v>4196</v>
      </c>
      <c r="C153" s="0" t="s">
        <v>4197</v>
      </c>
      <c r="D153" s="0" t="s">
        <v>4201</v>
      </c>
      <c r="E153" s="0" t="s">
        <v>4202</v>
      </c>
      <c r="F153" s="0" t="s">
        <v>3827</v>
      </c>
      <c r="G153" s="0" t="s">
        <v>4203</v>
      </c>
    </row>
    <row customHeight="1" ht="11.25">
      <c r="A154" s="379" t="s">
        <v>16</v>
      </c>
      <c r="B154" s="0" t="s">
        <v>4196</v>
      </c>
      <c r="C154" s="0" t="s">
        <v>4197</v>
      </c>
      <c r="D154" s="0" t="s">
        <v>4196</v>
      </c>
      <c r="E154" s="0" t="s">
        <v>4197</v>
      </c>
      <c r="F154" s="0" t="s">
        <v>3806</v>
      </c>
      <c r="G154" s="0" t="s">
        <v>4204</v>
      </c>
    </row>
    <row customHeight="1" ht="11.25">
      <c r="A155" s="379" t="s">
        <v>16</v>
      </c>
      <c r="B155" s="0" t="s">
        <v>4196</v>
      </c>
      <c r="C155" s="0" t="s">
        <v>4197</v>
      </c>
      <c r="D155" s="0" t="s">
        <v>4205</v>
      </c>
      <c r="E155" s="0" t="s">
        <v>4206</v>
      </c>
      <c r="F155" s="0" t="s">
        <v>3846</v>
      </c>
      <c r="G155" s="0" t="s">
        <v>4207</v>
      </c>
    </row>
    <row customHeight="1" ht="11.25">
      <c r="A156" s="379" t="s">
        <v>16</v>
      </c>
      <c r="B156" s="0" t="s">
        <v>4196</v>
      </c>
      <c r="C156" s="0" t="s">
        <v>4197</v>
      </c>
      <c r="D156" s="0" t="s">
        <v>4208</v>
      </c>
      <c r="E156" s="0" t="s">
        <v>4209</v>
      </c>
      <c r="F156" s="0" t="s">
        <v>3809</v>
      </c>
      <c r="G156" s="0" t="s">
        <v>4210</v>
      </c>
    </row>
    <row customHeight="1" ht="11.25">
      <c r="A157" s="379" t="s">
        <v>16</v>
      </c>
      <c r="B157" s="0" t="s">
        <v>4196</v>
      </c>
      <c r="C157" s="0" t="s">
        <v>4197</v>
      </c>
      <c r="D157" s="0" t="s">
        <v>4211</v>
      </c>
      <c r="E157" s="0" t="s">
        <v>4212</v>
      </c>
      <c r="F157" s="0" t="s">
        <v>3809</v>
      </c>
      <c r="G157" s="0" t="s">
        <v>4213</v>
      </c>
    </row>
    <row customHeight="1" ht="11.25">
      <c r="A158" s="379" t="s">
        <v>16</v>
      </c>
      <c r="B158" s="0" t="s">
        <v>4196</v>
      </c>
      <c r="C158" s="0" t="s">
        <v>4197</v>
      </c>
      <c r="D158" s="0" t="s">
        <v>4214</v>
      </c>
      <c r="E158" s="0" t="s">
        <v>4215</v>
      </c>
      <c r="F158" s="0" t="s">
        <v>3809</v>
      </c>
      <c r="G158" s="0" t="s">
        <v>4216</v>
      </c>
    </row>
    <row customHeight="1" ht="11.25">
      <c r="A159" s="379" t="s">
        <v>16</v>
      </c>
      <c r="B159" s="0" t="s">
        <v>4196</v>
      </c>
      <c r="C159" s="0" t="s">
        <v>4197</v>
      </c>
      <c r="D159" s="0" t="s">
        <v>4217</v>
      </c>
      <c r="E159" s="0" t="s">
        <v>4218</v>
      </c>
      <c r="F159" s="0" t="s">
        <v>3809</v>
      </c>
      <c r="G159" s="0" t="s">
        <v>4219</v>
      </c>
    </row>
    <row customHeight="1" ht="11.25">
      <c r="A160" s="379" t="s">
        <v>16</v>
      </c>
      <c r="B160" s="0" t="s">
        <v>4196</v>
      </c>
      <c r="C160" s="0" t="s">
        <v>4197</v>
      </c>
      <c r="D160" s="0" t="s">
        <v>4220</v>
      </c>
      <c r="E160" s="0" t="s">
        <v>4221</v>
      </c>
      <c r="F160" s="0" t="s">
        <v>3816</v>
      </c>
      <c r="G160" s="0" t="s">
        <v>4222</v>
      </c>
    </row>
    <row customHeight="1" ht="11.25">
      <c r="A161" s="379" t="s">
        <v>16</v>
      </c>
      <c r="B161" s="0" t="s">
        <v>4196</v>
      </c>
      <c r="C161" s="0" t="s">
        <v>4197</v>
      </c>
      <c r="D161" s="0" t="s">
        <v>4223</v>
      </c>
      <c r="E161" s="0" t="s">
        <v>4224</v>
      </c>
      <c r="F161" s="0" t="s">
        <v>3816</v>
      </c>
      <c r="G161" s="0" t="s">
        <v>4225</v>
      </c>
    </row>
    <row customHeight="1" ht="11.25">
      <c r="A162" s="379" t="s">
        <v>16</v>
      </c>
      <c r="B162" s="0" t="s">
        <v>4196</v>
      </c>
      <c r="C162" s="0" t="s">
        <v>4197</v>
      </c>
      <c r="D162" s="0" t="s">
        <v>4226</v>
      </c>
      <c r="E162" s="0" t="s">
        <v>4227</v>
      </c>
      <c r="F162" s="0" t="s">
        <v>3809</v>
      </c>
      <c r="G162" s="0" t="s">
        <v>4228</v>
      </c>
    </row>
    <row customHeight="1" ht="11.25">
      <c r="A163" s="379" t="s">
        <v>16</v>
      </c>
      <c r="B163" s="0" t="s">
        <v>4196</v>
      </c>
      <c r="C163" s="0" t="s">
        <v>4197</v>
      </c>
      <c r="D163" s="0" t="s">
        <v>4229</v>
      </c>
      <c r="E163" s="0" t="s">
        <v>4230</v>
      </c>
      <c r="F163" s="0" t="s">
        <v>3809</v>
      </c>
      <c r="G163" s="0" t="s">
        <v>4231</v>
      </c>
    </row>
    <row customHeight="1" ht="11.25">
      <c r="A164" s="379" t="s">
        <v>16</v>
      </c>
      <c r="B164" s="0" t="s">
        <v>4196</v>
      </c>
      <c r="C164" s="0" t="s">
        <v>4197</v>
      </c>
      <c r="D164" s="0" t="s">
        <v>4232</v>
      </c>
      <c r="E164" s="0" t="s">
        <v>4233</v>
      </c>
      <c r="F164" s="0" t="s">
        <v>3809</v>
      </c>
      <c r="G164" s="0" t="s">
        <v>4234</v>
      </c>
    </row>
    <row customHeight="1" ht="11.25">
      <c r="A165" s="379" t="s">
        <v>16</v>
      </c>
      <c r="B165" s="0" t="s">
        <v>4235</v>
      </c>
      <c r="C165" s="0" t="s">
        <v>4236</v>
      </c>
      <c r="D165" s="0" t="s">
        <v>3857</v>
      </c>
      <c r="E165" s="0" t="s">
        <v>4237</v>
      </c>
      <c r="F165" s="0" t="s">
        <v>3809</v>
      </c>
      <c r="G165" s="0" t="s">
        <v>4238</v>
      </c>
    </row>
    <row customHeight="1" ht="11.25">
      <c r="A166" s="379" t="s">
        <v>16</v>
      </c>
      <c r="B166" s="0" t="s">
        <v>4235</v>
      </c>
      <c r="C166" s="0" t="s">
        <v>4236</v>
      </c>
      <c r="D166" s="0" t="s">
        <v>4239</v>
      </c>
      <c r="E166" s="0" t="s">
        <v>4240</v>
      </c>
      <c r="F166" s="0" t="s">
        <v>3809</v>
      </c>
      <c r="G166" s="0" t="s">
        <v>4241</v>
      </c>
    </row>
    <row customHeight="1" ht="11.25">
      <c r="A167" s="379" t="s">
        <v>16</v>
      </c>
      <c r="B167" s="0" t="s">
        <v>4235</v>
      </c>
      <c r="C167" s="0" t="s">
        <v>4236</v>
      </c>
      <c r="D167" s="0" t="s">
        <v>4242</v>
      </c>
      <c r="E167" s="0" t="s">
        <v>4243</v>
      </c>
      <c r="F167" s="0" t="s">
        <v>3809</v>
      </c>
      <c r="G167" s="0" t="s">
        <v>4244</v>
      </c>
    </row>
    <row customHeight="1" ht="11.25">
      <c r="A168" s="379" t="s">
        <v>16</v>
      </c>
      <c r="B168" s="0" t="s">
        <v>4235</v>
      </c>
      <c r="C168" s="0" t="s">
        <v>4236</v>
      </c>
      <c r="D168" s="0" t="s">
        <v>4245</v>
      </c>
      <c r="E168" s="0" t="s">
        <v>4246</v>
      </c>
      <c r="F168" s="0" t="s">
        <v>3809</v>
      </c>
      <c r="G168" s="0" t="s">
        <v>4247</v>
      </c>
    </row>
    <row customHeight="1" ht="11.25">
      <c r="A169" s="379" t="s">
        <v>16</v>
      </c>
      <c r="B169" s="0" t="s">
        <v>4235</v>
      </c>
      <c r="C169" s="0" t="s">
        <v>4236</v>
      </c>
      <c r="D169" s="0" t="s">
        <v>4248</v>
      </c>
      <c r="E169" s="0" t="s">
        <v>4249</v>
      </c>
      <c r="F169" s="0" t="s">
        <v>3809</v>
      </c>
      <c r="G169" s="0" t="s">
        <v>4250</v>
      </c>
    </row>
    <row customHeight="1" ht="11.25">
      <c r="A170" s="379" t="s">
        <v>16</v>
      </c>
      <c r="B170" s="0" t="s">
        <v>4235</v>
      </c>
      <c r="C170" s="0" t="s">
        <v>4236</v>
      </c>
      <c r="D170" s="0" t="s">
        <v>4251</v>
      </c>
      <c r="E170" s="0" t="s">
        <v>4252</v>
      </c>
      <c r="F170" s="0" t="s">
        <v>3809</v>
      </c>
      <c r="G170" s="0" t="s">
        <v>4253</v>
      </c>
    </row>
    <row customHeight="1" ht="11.25">
      <c r="A171" s="379" t="s">
        <v>16</v>
      </c>
      <c r="B171" s="0" t="s">
        <v>4235</v>
      </c>
      <c r="C171" s="0" t="s">
        <v>4236</v>
      </c>
      <c r="D171" s="0" t="s">
        <v>4254</v>
      </c>
      <c r="E171" s="0" t="s">
        <v>4255</v>
      </c>
      <c r="F171" s="0" t="s">
        <v>3809</v>
      </c>
      <c r="G171" s="0" t="s">
        <v>4256</v>
      </c>
    </row>
    <row customHeight="1" ht="11.25">
      <c r="A172" s="379" t="s">
        <v>16</v>
      </c>
      <c r="B172" s="0" t="s">
        <v>4235</v>
      </c>
      <c r="C172" s="0" t="s">
        <v>4236</v>
      </c>
      <c r="D172" s="0" t="s">
        <v>4257</v>
      </c>
      <c r="E172" s="0" t="s">
        <v>4258</v>
      </c>
      <c r="F172" s="0" t="s">
        <v>3809</v>
      </c>
      <c r="G172" s="0" t="s">
        <v>4259</v>
      </c>
    </row>
    <row customHeight="1" ht="11.25">
      <c r="A173" s="379" t="s">
        <v>16</v>
      </c>
      <c r="B173" s="0" t="s">
        <v>4235</v>
      </c>
      <c r="C173" s="0" t="s">
        <v>4236</v>
      </c>
      <c r="D173" s="0" t="s">
        <v>4260</v>
      </c>
      <c r="E173" s="0" t="s">
        <v>4261</v>
      </c>
      <c r="F173" s="0" t="s">
        <v>3809</v>
      </c>
      <c r="G173" s="0" t="s">
        <v>4262</v>
      </c>
    </row>
    <row customHeight="1" ht="11.25">
      <c r="A174" s="379" t="s">
        <v>16</v>
      </c>
      <c r="B174" s="0" t="s">
        <v>4235</v>
      </c>
      <c r="C174" s="0" t="s">
        <v>4236</v>
      </c>
      <c r="D174" s="0" t="s">
        <v>4263</v>
      </c>
      <c r="E174" s="0" t="s">
        <v>4264</v>
      </c>
      <c r="F174" s="0" t="s">
        <v>3809</v>
      </c>
      <c r="G174" s="0" t="s">
        <v>4265</v>
      </c>
    </row>
    <row customHeight="1" ht="11.25">
      <c r="A175" s="379" t="s">
        <v>16</v>
      </c>
      <c r="B175" s="0" t="s">
        <v>4235</v>
      </c>
      <c r="C175" s="0" t="s">
        <v>4236</v>
      </c>
      <c r="D175" s="0" t="s">
        <v>4235</v>
      </c>
      <c r="E175" s="0" t="s">
        <v>4236</v>
      </c>
      <c r="F175" s="0" t="s">
        <v>3806</v>
      </c>
      <c r="G175" s="0" t="s">
        <v>4266</v>
      </c>
    </row>
    <row customHeight="1" ht="11.25">
      <c r="A176" s="379" t="s">
        <v>16</v>
      </c>
      <c r="B176" s="0" t="s">
        <v>4235</v>
      </c>
      <c r="C176" s="0" t="s">
        <v>4236</v>
      </c>
      <c r="D176" s="0" t="s">
        <v>4267</v>
      </c>
      <c r="E176" s="0" t="s">
        <v>4268</v>
      </c>
      <c r="F176" s="0" t="s">
        <v>3809</v>
      </c>
      <c r="G176" s="0" t="s">
        <v>4269</v>
      </c>
    </row>
    <row customHeight="1" ht="11.25">
      <c r="A177" s="379" t="s">
        <v>16</v>
      </c>
      <c r="B177" s="0" t="s">
        <v>4235</v>
      </c>
      <c r="C177" s="0" t="s">
        <v>4236</v>
      </c>
      <c r="D177" s="0" t="s">
        <v>4270</v>
      </c>
      <c r="E177" s="0" t="s">
        <v>4271</v>
      </c>
      <c r="F177" s="0" t="s">
        <v>3809</v>
      </c>
      <c r="G177" s="0" t="s">
        <v>4272</v>
      </c>
    </row>
    <row customHeight="1" ht="11.25">
      <c r="A178" s="379" t="s">
        <v>16</v>
      </c>
      <c r="B178" s="0" t="s">
        <v>4235</v>
      </c>
      <c r="C178" s="0" t="s">
        <v>4236</v>
      </c>
      <c r="D178" s="0" t="s">
        <v>4273</v>
      </c>
      <c r="E178" s="0" t="s">
        <v>4274</v>
      </c>
      <c r="F178" s="0" t="s">
        <v>3809</v>
      </c>
      <c r="G178" s="0" t="s">
        <v>4275</v>
      </c>
    </row>
    <row customHeight="1" ht="11.25">
      <c r="A179" s="379" t="s">
        <v>16</v>
      </c>
      <c r="B179" s="0" t="s">
        <v>4235</v>
      </c>
      <c r="C179" s="0" t="s">
        <v>4236</v>
      </c>
      <c r="D179" s="0" t="s">
        <v>4276</v>
      </c>
      <c r="E179" s="0" t="s">
        <v>4277</v>
      </c>
      <c r="F179" s="0" t="s">
        <v>3809</v>
      </c>
      <c r="G179" s="0" t="s">
        <v>4278</v>
      </c>
    </row>
    <row customHeight="1" ht="11.25">
      <c r="A180" s="379" t="s">
        <v>16</v>
      </c>
      <c r="B180" s="0" t="s">
        <v>4235</v>
      </c>
      <c r="C180" s="0" t="s">
        <v>4236</v>
      </c>
      <c r="D180" s="0" t="s">
        <v>4279</v>
      </c>
      <c r="E180" s="0" t="s">
        <v>4280</v>
      </c>
      <c r="F180" s="0" t="s">
        <v>3809</v>
      </c>
      <c r="G180" s="0" t="s">
        <v>4281</v>
      </c>
    </row>
    <row customHeight="1" ht="11.25">
      <c r="A181" s="379" t="s">
        <v>16</v>
      </c>
      <c r="B181" s="0" t="s">
        <v>4235</v>
      </c>
      <c r="C181" s="0" t="s">
        <v>4236</v>
      </c>
      <c r="D181" s="0" t="s">
        <v>4282</v>
      </c>
      <c r="E181" s="0" t="s">
        <v>4283</v>
      </c>
      <c r="F181" s="0" t="s">
        <v>3809</v>
      </c>
      <c r="G181" s="0" t="s">
        <v>4284</v>
      </c>
    </row>
    <row customHeight="1" ht="11.25">
      <c r="A182" s="379" t="s">
        <v>16</v>
      </c>
      <c r="B182" s="0" t="s">
        <v>4235</v>
      </c>
      <c r="C182" s="0" t="s">
        <v>4236</v>
      </c>
      <c r="D182" s="0" t="s">
        <v>4285</v>
      </c>
      <c r="E182" s="0" t="s">
        <v>4286</v>
      </c>
      <c r="F182" s="0" t="s">
        <v>3809</v>
      </c>
      <c r="G182" s="0" t="s">
        <v>4287</v>
      </c>
    </row>
    <row customHeight="1" ht="11.25">
      <c r="A183" s="379" t="s">
        <v>16</v>
      </c>
      <c r="B183" s="0" t="s">
        <v>4235</v>
      </c>
      <c r="C183" s="0" t="s">
        <v>4236</v>
      </c>
      <c r="D183" s="0" t="s">
        <v>4288</v>
      </c>
      <c r="E183" s="0" t="s">
        <v>4289</v>
      </c>
      <c r="F183" s="0" t="s">
        <v>3809</v>
      </c>
      <c r="G183" s="0" t="s">
        <v>4290</v>
      </c>
    </row>
    <row customHeight="1" ht="11.25">
      <c r="A184" s="379" t="s">
        <v>16</v>
      </c>
      <c r="B184" s="0" t="s">
        <v>4235</v>
      </c>
      <c r="C184" s="0" t="s">
        <v>4236</v>
      </c>
      <c r="D184" s="0" t="s">
        <v>4291</v>
      </c>
      <c r="E184" s="0" t="s">
        <v>4292</v>
      </c>
      <c r="F184" s="0" t="s">
        <v>3809</v>
      </c>
      <c r="G184" s="0" t="s">
        <v>4293</v>
      </c>
    </row>
    <row customHeight="1" ht="11.25">
      <c r="A185" s="379" t="s">
        <v>16</v>
      </c>
      <c r="B185" s="0" t="s">
        <v>4235</v>
      </c>
      <c r="C185" s="0" t="s">
        <v>4236</v>
      </c>
      <c r="D185" s="0" t="s">
        <v>4294</v>
      </c>
      <c r="E185" s="0" t="s">
        <v>4295</v>
      </c>
      <c r="F185" s="0" t="s">
        <v>3809</v>
      </c>
      <c r="G185" s="0" t="s">
        <v>4296</v>
      </c>
    </row>
    <row customHeight="1" ht="11.25">
      <c r="A186" s="379" t="s">
        <v>16</v>
      </c>
      <c r="B186" s="0" t="s">
        <v>4235</v>
      </c>
      <c r="C186" s="0" t="s">
        <v>4236</v>
      </c>
      <c r="D186" s="0" t="s">
        <v>4297</v>
      </c>
      <c r="E186" s="0" t="s">
        <v>4298</v>
      </c>
      <c r="F186" s="0" t="s">
        <v>3809</v>
      </c>
      <c r="G186" s="0" t="s">
        <v>4299</v>
      </c>
    </row>
    <row customHeight="1" ht="11.25">
      <c r="A187" s="379" t="s">
        <v>16</v>
      </c>
      <c r="B187" s="0" t="s">
        <v>4235</v>
      </c>
      <c r="C187" s="0" t="s">
        <v>4236</v>
      </c>
      <c r="D187" s="0" t="s">
        <v>4300</v>
      </c>
      <c r="E187" s="0" t="s">
        <v>4301</v>
      </c>
      <c r="F187" s="0" t="s">
        <v>3809</v>
      </c>
      <c r="G187" s="0" t="s">
        <v>4302</v>
      </c>
    </row>
    <row customHeight="1" ht="11.25">
      <c r="A188" s="379" t="s">
        <v>16</v>
      </c>
      <c r="B188" s="0" t="s">
        <v>4235</v>
      </c>
      <c r="C188" s="0" t="s">
        <v>4236</v>
      </c>
      <c r="D188" s="0" t="s">
        <v>4303</v>
      </c>
      <c r="E188" s="0" t="s">
        <v>4304</v>
      </c>
      <c r="F188" s="0" t="s">
        <v>3809</v>
      </c>
      <c r="G188" s="0" t="s">
        <v>4305</v>
      </c>
    </row>
    <row customHeight="1" ht="11.25">
      <c r="A189" s="379" t="s">
        <v>16</v>
      </c>
      <c r="B189" s="0" t="s">
        <v>4235</v>
      </c>
      <c r="C189" s="0" t="s">
        <v>4236</v>
      </c>
      <c r="D189" s="0" t="s">
        <v>4306</v>
      </c>
      <c r="E189" s="0" t="s">
        <v>4307</v>
      </c>
      <c r="F189" s="0" t="s">
        <v>3809</v>
      </c>
      <c r="G189" s="0" t="s">
        <v>4308</v>
      </c>
    </row>
    <row customHeight="1" ht="11.25">
      <c r="A190" s="379" t="s">
        <v>16</v>
      </c>
      <c r="B190" s="0" t="s">
        <v>4235</v>
      </c>
      <c r="C190" s="0" t="s">
        <v>4236</v>
      </c>
      <c r="D190" s="0" t="s">
        <v>4309</v>
      </c>
      <c r="E190" s="0" t="s">
        <v>4310</v>
      </c>
      <c r="F190" s="0" t="s">
        <v>3809</v>
      </c>
      <c r="G190" s="0" t="s">
        <v>4311</v>
      </c>
    </row>
    <row customHeight="1" ht="11.25">
      <c r="A191" s="379" t="s">
        <v>16</v>
      </c>
      <c r="B191" s="0" t="s">
        <v>4235</v>
      </c>
      <c r="C191" s="0" t="s">
        <v>4236</v>
      </c>
      <c r="D191" s="0" t="s">
        <v>4312</v>
      </c>
      <c r="E191" s="0" t="s">
        <v>4313</v>
      </c>
      <c r="F191" s="0" t="s">
        <v>3809</v>
      </c>
      <c r="G191" s="0" t="s">
        <v>4314</v>
      </c>
    </row>
    <row customHeight="1" ht="11.25">
      <c r="A192" s="379" t="s">
        <v>16</v>
      </c>
      <c r="B192" s="0" t="s">
        <v>4235</v>
      </c>
      <c r="C192" s="0" t="s">
        <v>4236</v>
      </c>
      <c r="D192" s="0" t="s">
        <v>4315</v>
      </c>
      <c r="E192" s="0" t="s">
        <v>4316</v>
      </c>
      <c r="F192" s="0" t="s">
        <v>3809</v>
      </c>
      <c r="G192" s="0" t="s">
        <v>4317</v>
      </c>
    </row>
    <row customHeight="1" ht="11.25">
      <c r="A193" s="379" t="s">
        <v>16</v>
      </c>
      <c r="B193" s="0" t="s">
        <v>4235</v>
      </c>
      <c r="C193" s="0" t="s">
        <v>4236</v>
      </c>
      <c r="D193" s="0" t="s">
        <v>4318</v>
      </c>
      <c r="E193" s="0" t="s">
        <v>4319</v>
      </c>
      <c r="F193" s="0" t="s">
        <v>3809</v>
      </c>
      <c r="G193" s="0" t="s">
        <v>4320</v>
      </c>
    </row>
    <row customHeight="1" ht="11.25">
      <c r="A194" s="379" t="s">
        <v>16</v>
      </c>
      <c r="B194" s="0" t="s">
        <v>4235</v>
      </c>
      <c r="C194" s="0" t="s">
        <v>4236</v>
      </c>
      <c r="D194" s="0" t="s">
        <v>4321</v>
      </c>
      <c r="E194" s="0" t="s">
        <v>4322</v>
      </c>
      <c r="F194" s="0" t="s">
        <v>3809</v>
      </c>
      <c r="G194" s="0" t="s">
        <v>4323</v>
      </c>
    </row>
    <row customHeight="1" ht="11.25">
      <c r="A195" s="379" t="s">
        <v>16</v>
      </c>
      <c r="B195" s="0" t="s">
        <v>4235</v>
      </c>
      <c r="C195" s="0" t="s">
        <v>4236</v>
      </c>
      <c r="D195" s="0" t="s">
        <v>4324</v>
      </c>
      <c r="E195" s="0" t="s">
        <v>4325</v>
      </c>
      <c r="F195" s="0" t="s">
        <v>3809</v>
      </c>
      <c r="G195" s="0" t="s">
        <v>4326</v>
      </c>
    </row>
    <row customHeight="1" ht="11.25">
      <c r="A196" s="379" t="s">
        <v>16</v>
      </c>
      <c r="B196" s="0" t="s">
        <v>4235</v>
      </c>
      <c r="C196" s="0" t="s">
        <v>4236</v>
      </c>
      <c r="D196" s="0" t="s">
        <v>4327</v>
      </c>
      <c r="E196" s="0" t="s">
        <v>4328</v>
      </c>
      <c r="F196" s="0" t="s">
        <v>3816</v>
      </c>
      <c r="G196" s="0" t="s">
        <v>4329</v>
      </c>
    </row>
    <row customHeight="1" ht="11.25">
      <c r="A197" s="379" t="s">
        <v>16</v>
      </c>
      <c r="B197" s="0" t="s">
        <v>4330</v>
      </c>
      <c r="C197" s="0" t="s">
        <v>4331</v>
      </c>
      <c r="D197" s="0" t="s">
        <v>4332</v>
      </c>
      <c r="E197" s="0" t="s">
        <v>4333</v>
      </c>
      <c r="F197" s="0" t="s">
        <v>3809</v>
      </c>
      <c r="G197" s="0" t="s">
        <v>4334</v>
      </c>
    </row>
    <row customHeight="1" ht="11.25">
      <c r="A198" s="379" t="s">
        <v>16</v>
      </c>
      <c r="B198" s="0" t="s">
        <v>4330</v>
      </c>
      <c r="C198" s="0" t="s">
        <v>4331</v>
      </c>
      <c r="D198" s="0" t="s">
        <v>4335</v>
      </c>
      <c r="E198" s="0" t="s">
        <v>4336</v>
      </c>
      <c r="F198" s="0" t="s">
        <v>3827</v>
      </c>
      <c r="G198" s="0" t="s">
        <v>4337</v>
      </c>
    </row>
    <row customHeight="1" ht="11.25">
      <c r="A199" s="379" t="s">
        <v>16</v>
      </c>
      <c r="B199" s="0" t="s">
        <v>4330</v>
      </c>
      <c r="C199" s="0" t="s">
        <v>4331</v>
      </c>
      <c r="D199" s="0" t="s">
        <v>4338</v>
      </c>
      <c r="E199" s="0" t="s">
        <v>4339</v>
      </c>
      <c r="F199" s="0" t="s">
        <v>3827</v>
      </c>
      <c r="G199" s="0" t="s">
        <v>4340</v>
      </c>
    </row>
    <row customHeight="1" ht="11.25">
      <c r="A200" s="379" t="s">
        <v>16</v>
      </c>
      <c r="B200" s="0" t="s">
        <v>4330</v>
      </c>
      <c r="C200" s="0" t="s">
        <v>4331</v>
      </c>
      <c r="D200" s="0" t="s">
        <v>4341</v>
      </c>
      <c r="E200" s="0" t="s">
        <v>4342</v>
      </c>
      <c r="F200" s="0" t="s">
        <v>3846</v>
      </c>
      <c r="G200" s="0" t="s">
        <v>4343</v>
      </c>
    </row>
    <row customHeight="1" ht="11.25">
      <c r="A201" s="379" t="s">
        <v>16</v>
      </c>
      <c r="B201" s="0" t="s">
        <v>4330</v>
      </c>
      <c r="C201" s="0" t="s">
        <v>4331</v>
      </c>
      <c r="D201" s="0" t="s">
        <v>4330</v>
      </c>
      <c r="E201" s="0" t="s">
        <v>4331</v>
      </c>
      <c r="F201" s="0" t="s">
        <v>3806</v>
      </c>
      <c r="G201" s="0" t="s">
        <v>4344</v>
      </c>
    </row>
    <row customHeight="1" ht="11.25">
      <c r="A202" s="379" t="s">
        <v>16</v>
      </c>
      <c r="B202" s="0" t="s">
        <v>4330</v>
      </c>
      <c r="C202" s="0" t="s">
        <v>4331</v>
      </c>
      <c r="D202" s="0" t="s">
        <v>4345</v>
      </c>
      <c r="E202" s="0" t="s">
        <v>4346</v>
      </c>
      <c r="F202" s="0" t="s">
        <v>3816</v>
      </c>
      <c r="G202" s="0" t="s">
        <v>4347</v>
      </c>
    </row>
    <row customHeight="1" ht="11.25">
      <c r="A203" s="379" t="s">
        <v>16</v>
      </c>
      <c r="B203" s="0" t="s">
        <v>4330</v>
      </c>
      <c r="C203" s="0" t="s">
        <v>4331</v>
      </c>
      <c r="D203" s="0" t="s">
        <v>4348</v>
      </c>
      <c r="E203" s="0" t="s">
        <v>4349</v>
      </c>
      <c r="F203" s="0" t="s">
        <v>3816</v>
      </c>
      <c r="G203" s="0" t="s">
        <v>4350</v>
      </c>
    </row>
    <row customHeight="1" ht="11.25">
      <c r="A204" s="379" t="s">
        <v>16</v>
      </c>
      <c r="B204" s="0" t="s">
        <v>4330</v>
      </c>
      <c r="C204" s="0" t="s">
        <v>4331</v>
      </c>
      <c r="D204" s="0" t="s">
        <v>4351</v>
      </c>
      <c r="E204" s="0" t="s">
        <v>4352</v>
      </c>
      <c r="F204" s="0" t="s">
        <v>3816</v>
      </c>
      <c r="G204" s="0" t="s">
        <v>4353</v>
      </c>
    </row>
    <row customHeight="1" ht="11.25">
      <c r="A205" s="379" t="s">
        <v>16</v>
      </c>
      <c r="B205" s="0" t="s">
        <v>4330</v>
      </c>
      <c r="C205" s="0" t="s">
        <v>4331</v>
      </c>
      <c r="D205" s="0" t="s">
        <v>4354</v>
      </c>
      <c r="E205" s="0" t="s">
        <v>4355</v>
      </c>
      <c r="F205" s="0" t="s">
        <v>3816</v>
      </c>
      <c r="G205" s="0" t="s">
        <v>4356</v>
      </c>
    </row>
    <row customHeight="1" ht="11.25">
      <c r="A206" s="379" t="s">
        <v>16</v>
      </c>
      <c r="B206" s="0" t="s">
        <v>4330</v>
      </c>
      <c r="C206" s="0" t="s">
        <v>4331</v>
      </c>
      <c r="D206" s="0" t="s">
        <v>4357</v>
      </c>
      <c r="E206" s="0" t="s">
        <v>4358</v>
      </c>
      <c r="F206" s="0" t="s">
        <v>3809</v>
      </c>
      <c r="G206" s="0" t="s">
        <v>4359</v>
      </c>
    </row>
    <row customHeight="1" ht="11.25">
      <c r="A207" s="379" t="s">
        <v>16</v>
      </c>
      <c r="B207" s="0" t="s">
        <v>4330</v>
      </c>
      <c r="C207" s="0" t="s">
        <v>4331</v>
      </c>
      <c r="D207" s="0" t="s">
        <v>4360</v>
      </c>
      <c r="E207" s="0" t="s">
        <v>4361</v>
      </c>
      <c r="F207" s="0" t="s">
        <v>3809</v>
      </c>
      <c r="G207" s="0" t="s">
        <v>4362</v>
      </c>
    </row>
    <row customHeight="1" ht="11.25">
      <c r="A208" s="379" t="s">
        <v>16</v>
      </c>
      <c r="B208" s="0" t="s">
        <v>4363</v>
      </c>
      <c r="C208" s="0" t="s">
        <v>4364</v>
      </c>
      <c r="D208" s="0" t="s">
        <v>4365</v>
      </c>
      <c r="E208" s="0" t="s">
        <v>4366</v>
      </c>
      <c r="F208" s="0" t="s">
        <v>3809</v>
      </c>
      <c r="G208" s="0" t="s">
        <v>4367</v>
      </c>
    </row>
    <row customHeight="1" ht="11.25">
      <c r="A209" s="379" t="s">
        <v>16</v>
      </c>
      <c r="B209" s="0" t="s">
        <v>4363</v>
      </c>
      <c r="C209" s="0" t="s">
        <v>4364</v>
      </c>
      <c r="D209" s="0" t="s">
        <v>4363</v>
      </c>
      <c r="E209" s="0" t="s">
        <v>4364</v>
      </c>
      <c r="F209" s="0" t="s">
        <v>3806</v>
      </c>
      <c r="G209" s="0" t="s">
        <v>4368</v>
      </c>
    </row>
    <row customHeight="1" ht="11.25">
      <c r="A210" s="379" t="s">
        <v>16</v>
      </c>
      <c r="B210" s="0" t="s">
        <v>4363</v>
      </c>
      <c r="C210" s="0" t="s">
        <v>4364</v>
      </c>
      <c r="D210" s="0" t="s">
        <v>4369</v>
      </c>
      <c r="E210" s="0" t="s">
        <v>4370</v>
      </c>
      <c r="F210" s="0" t="s">
        <v>3809</v>
      </c>
      <c r="G210" s="0" t="s">
        <v>4371</v>
      </c>
    </row>
    <row customHeight="1" ht="11.25">
      <c r="A211" s="379" t="s">
        <v>16</v>
      </c>
      <c r="B211" s="0" t="s">
        <v>4363</v>
      </c>
      <c r="C211" s="0" t="s">
        <v>4364</v>
      </c>
      <c r="D211" s="0" t="s">
        <v>4372</v>
      </c>
      <c r="E211" s="0" t="s">
        <v>4373</v>
      </c>
      <c r="F211" s="0" t="s">
        <v>3809</v>
      </c>
      <c r="G211" s="0" t="s">
        <v>4374</v>
      </c>
    </row>
    <row customHeight="1" ht="11.25">
      <c r="A212" s="379" t="s">
        <v>16</v>
      </c>
      <c r="B212" s="0" t="s">
        <v>4363</v>
      </c>
      <c r="C212" s="0" t="s">
        <v>4364</v>
      </c>
      <c r="D212" s="0" t="s">
        <v>4375</v>
      </c>
      <c r="E212" s="0" t="s">
        <v>4376</v>
      </c>
      <c r="F212" s="0" t="s">
        <v>3809</v>
      </c>
      <c r="G212" s="0" t="s">
        <v>4377</v>
      </c>
    </row>
    <row customHeight="1" ht="11.25">
      <c r="A213" s="379" t="s">
        <v>16</v>
      </c>
      <c r="B213" s="0" t="s">
        <v>4363</v>
      </c>
      <c r="C213" s="0" t="s">
        <v>4364</v>
      </c>
      <c r="D213" s="0" t="s">
        <v>4378</v>
      </c>
      <c r="E213" s="0" t="s">
        <v>4379</v>
      </c>
      <c r="F213" s="0" t="s">
        <v>3809</v>
      </c>
      <c r="G213" s="0" t="s">
        <v>4380</v>
      </c>
    </row>
    <row customHeight="1" ht="11.25">
      <c r="A214" s="379" t="s">
        <v>16</v>
      </c>
      <c r="B214" s="0" t="s">
        <v>4363</v>
      </c>
      <c r="C214" s="0" t="s">
        <v>4364</v>
      </c>
      <c r="D214" s="0" t="s">
        <v>4381</v>
      </c>
      <c r="E214" s="0" t="s">
        <v>4382</v>
      </c>
      <c r="F214" s="0" t="s">
        <v>3809</v>
      </c>
      <c r="G214" s="0" t="s">
        <v>4383</v>
      </c>
    </row>
    <row customHeight="1" ht="11.25">
      <c r="A215" s="379" t="s">
        <v>16</v>
      </c>
      <c r="B215" s="0" t="s">
        <v>4384</v>
      </c>
      <c r="C215" s="0" t="s">
        <v>4385</v>
      </c>
      <c r="D215" s="0" t="s">
        <v>4386</v>
      </c>
      <c r="E215" s="0" t="s">
        <v>4387</v>
      </c>
      <c r="F215" s="0" t="s">
        <v>3809</v>
      </c>
      <c r="G215" s="0" t="s">
        <v>4388</v>
      </c>
    </row>
    <row customHeight="1" ht="11.25">
      <c r="A216" s="379" t="s">
        <v>16</v>
      </c>
      <c r="B216" s="0" t="s">
        <v>4384</v>
      </c>
      <c r="C216" s="0" t="s">
        <v>4385</v>
      </c>
      <c r="D216" s="0" t="s">
        <v>3863</v>
      </c>
      <c r="E216" s="0" t="s">
        <v>4389</v>
      </c>
      <c r="F216" s="0" t="s">
        <v>3809</v>
      </c>
      <c r="G216" s="0" t="s">
        <v>4390</v>
      </c>
    </row>
    <row customHeight="1" ht="11.25">
      <c r="A217" s="379" t="s">
        <v>16</v>
      </c>
      <c r="B217" s="0" t="s">
        <v>4384</v>
      </c>
      <c r="C217" s="0" t="s">
        <v>4385</v>
      </c>
      <c r="D217" s="0" t="s">
        <v>4391</v>
      </c>
      <c r="E217" s="0" t="s">
        <v>4392</v>
      </c>
      <c r="F217" s="0" t="s">
        <v>3809</v>
      </c>
      <c r="G217" s="0" t="s">
        <v>4393</v>
      </c>
    </row>
    <row customHeight="1" ht="11.25">
      <c r="A218" s="379" t="s">
        <v>16</v>
      </c>
      <c r="B218" s="0" t="s">
        <v>4384</v>
      </c>
      <c r="C218" s="0" t="s">
        <v>4385</v>
      </c>
      <c r="D218" s="0" t="s">
        <v>4394</v>
      </c>
      <c r="E218" s="0" t="s">
        <v>4395</v>
      </c>
      <c r="F218" s="0" t="s">
        <v>3809</v>
      </c>
      <c r="G218" s="0" t="s">
        <v>4396</v>
      </c>
    </row>
    <row customHeight="1" ht="11.25">
      <c r="A219" s="379" t="s">
        <v>16</v>
      </c>
      <c r="B219" s="0" t="s">
        <v>4384</v>
      </c>
      <c r="C219" s="0" t="s">
        <v>4385</v>
      </c>
      <c r="D219" s="0" t="s">
        <v>4397</v>
      </c>
      <c r="E219" s="0" t="s">
        <v>4398</v>
      </c>
      <c r="F219" s="0" t="s">
        <v>3809</v>
      </c>
      <c r="G219" s="0" t="s">
        <v>4399</v>
      </c>
    </row>
    <row customHeight="1" ht="11.25">
      <c r="A220" s="379" t="s">
        <v>16</v>
      </c>
      <c r="B220" s="0" t="s">
        <v>4384</v>
      </c>
      <c r="C220" s="0" t="s">
        <v>4385</v>
      </c>
      <c r="D220" s="0" t="s">
        <v>4400</v>
      </c>
      <c r="E220" s="0" t="s">
        <v>4401</v>
      </c>
      <c r="F220" s="0" t="s">
        <v>3809</v>
      </c>
      <c r="G220" s="0" t="s">
        <v>4402</v>
      </c>
    </row>
    <row customHeight="1" ht="11.25">
      <c r="A221" s="379" t="s">
        <v>16</v>
      </c>
      <c r="B221" s="0" t="s">
        <v>4384</v>
      </c>
      <c r="C221" s="0" t="s">
        <v>4385</v>
      </c>
      <c r="D221" s="0" t="s">
        <v>4403</v>
      </c>
      <c r="E221" s="0" t="s">
        <v>4404</v>
      </c>
      <c r="F221" s="0" t="s">
        <v>3809</v>
      </c>
      <c r="G221" s="0" t="s">
        <v>4405</v>
      </c>
    </row>
    <row customHeight="1" ht="11.25">
      <c r="A222" s="379" t="s">
        <v>16</v>
      </c>
      <c r="B222" s="0" t="s">
        <v>4384</v>
      </c>
      <c r="C222" s="0" t="s">
        <v>4385</v>
      </c>
      <c r="D222" s="0" t="s">
        <v>4406</v>
      </c>
      <c r="E222" s="0" t="s">
        <v>4407</v>
      </c>
      <c r="F222" s="0" t="s">
        <v>3809</v>
      </c>
      <c r="G222" s="0" t="s">
        <v>4408</v>
      </c>
    </row>
    <row customHeight="1" ht="11.25">
      <c r="A223" s="379" t="s">
        <v>16</v>
      </c>
      <c r="B223" s="0" t="s">
        <v>4384</v>
      </c>
      <c r="C223" s="0" t="s">
        <v>4385</v>
      </c>
      <c r="D223" s="0" t="s">
        <v>4384</v>
      </c>
      <c r="E223" s="0" t="s">
        <v>4385</v>
      </c>
      <c r="F223" s="0" t="s">
        <v>3806</v>
      </c>
      <c r="G223" s="0" t="s">
        <v>4409</v>
      </c>
    </row>
    <row customHeight="1" ht="11.25">
      <c r="A224" s="379" t="s">
        <v>16</v>
      </c>
      <c r="B224" s="0" t="s">
        <v>4384</v>
      </c>
      <c r="C224" s="0" t="s">
        <v>4385</v>
      </c>
      <c r="D224" s="0" t="s">
        <v>4410</v>
      </c>
      <c r="E224" s="0" t="s">
        <v>4411</v>
      </c>
      <c r="F224" s="0" t="s">
        <v>3809</v>
      </c>
      <c r="G224" s="0" t="s">
        <v>4412</v>
      </c>
    </row>
    <row customHeight="1" ht="11.25">
      <c r="A225" s="379" t="s">
        <v>16</v>
      </c>
      <c r="B225" s="0" t="s">
        <v>4384</v>
      </c>
      <c r="C225" s="0" t="s">
        <v>4385</v>
      </c>
      <c r="D225" s="0" t="s">
        <v>4413</v>
      </c>
      <c r="E225" s="0" t="s">
        <v>4414</v>
      </c>
      <c r="F225" s="0" t="s">
        <v>3809</v>
      </c>
      <c r="G225" s="0" t="s">
        <v>4415</v>
      </c>
    </row>
    <row customHeight="1" ht="11.25">
      <c r="A226" s="379" t="s">
        <v>16</v>
      </c>
      <c r="B226" s="0" t="s">
        <v>4384</v>
      </c>
      <c r="C226" s="0" t="s">
        <v>4385</v>
      </c>
      <c r="D226" s="0" t="s">
        <v>4416</v>
      </c>
      <c r="E226" s="0" t="s">
        <v>4417</v>
      </c>
      <c r="F226" s="0" t="s">
        <v>3809</v>
      </c>
      <c r="G226" s="0" t="s">
        <v>4418</v>
      </c>
    </row>
    <row customHeight="1" ht="11.25">
      <c r="A227" s="379" t="s">
        <v>16</v>
      </c>
      <c r="B227" s="0" t="s">
        <v>4384</v>
      </c>
      <c r="C227" s="0" t="s">
        <v>4385</v>
      </c>
      <c r="D227" s="0" t="s">
        <v>4419</v>
      </c>
      <c r="E227" s="0" t="s">
        <v>4420</v>
      </c>
      <c r="F227" s="0" t="s">
        <v>3809</v>
      </c>
      <c r="G227" s="0" t="s">
        <v>4421</v>
      </c>
    </row>
    <row customHeight="1" ht="11.25">
      <c r="A228" s="379" t="s">
        <v>16</v>
      </c>
      <c r="B228" s="0" t="s">
        <v>4384</v>
      </c>
      <c r="C228" s="0" t="s">
        <v>4385</v>
      </c>
      <c r="D228" s="0" t="s">
        <v>4422</v>
      </c>
      <c r="E228" s="0" t="s">
        <v>4423</v>
      </c>
      <c r="F228" s="0" t="s">
        <v>3809</v>
      </c>
      <c r="G228" s="0" t="s">
        <v>4424</v>
      </c>
    </row>
    <row customHeight="1" ht="11.25">
      <c r="A229" s="379" t="s">
        <v>16</v>
      </c>
      <c r="B229" s="0" t="s">
        <v>4384</v>
      </c>
      <c r="C229" s="0" t="s">
        <v>4385</v>
      </c>
      <c r="D229" s="0" t="s">
        <v>4425</v>
      </c>
      <c r="E229" s="0" t="s">
        <v>4426</v>
      </c>
      <c r="F229" s="0" t="s">
        <v>3809</v>
      </c>
      <c r="G229" s="0" t="s">
        <v>4427</v>
      </c>
    </row>
    <row customHeight="1" ht="11.25">
      <c r="A230" s="379" t="s">
        <v>16</v>
      </c>
      <c r="B230" s="0" t="s">
        <v>4384</v>
      </c>
      <c r="C230" s="0" t="s">
        <v>4385</v>
      </c>
      <c r="D230" s="0" t="s">
        <v>4428</v>
      </c>
      <c r="E230" s="0" t="s">
        <v>4429</v>
      </c>
      <c r="F230" s="0" t="s">
        <v>3809</v>
      </c>
      <c r="G230" s="0" t="s">
        <v>4430</v>
      </c>
    </row>
    <row customHeight="1" ht="11.25">
      <c r="A231" s="379" t="s">
        <v>16</v>
      </c>
      <c r="B231" s="0" t="s">
        <v>4384</v>
      </c>
      <c r="C231" s="0" t="s">
        <v>4385</v>
      </c>
      <c r="D231" s="0" t="s">
        <v>4431</v>
      </c>
      <c r="E231" s="0" t="s">
        <v>4432</v>
      </c>
      <c r="F231" s="0" t="s">
        <v>3809</v>
      </c>
      <c r="G231" s="0" t="s">
        <v>4433</v>
      </c>
    </row>
    <row customHeight="1" ht="11.25">
      <c r="A232" s="379" t="s">
        <v>16</v>
      </c>
      <c r="B232" s="0" t="s">
        <v>4384</v>
      </c>
      <c r="C232" s="0" t="s">
        <v>4385</v>
      </c>
      <c r="D232" s="0" t="s">
        <v>4434</v>
      </c>
      <c r="E232" s="0" t="s">
        <v>4435</v>
      </c>
      <c r="F232" s="0" t="s">
        <v>3809</v>
      </c>
      <c r="G232" s="0" t="s">
        <v>4436</v>
      </c>
    </row>
    <row customHeight="1" ht="11.25">
      <c r="A233" s="379" t="s">
        <v>16</v>
      </c>
      <c r="B233" s="0" t="s">
        <v>4384</v>
      </c>
      <c r="C233" s="0" t="s">
        <v>4385</v>
      </c>
      <c r="D233" s="0" t="s">
        <v>4437</v>
      </c>
      <c r="E233" s="0" t="s">
        <v>4438</v>
      </c>
      <c r="F233" s="0" t="s">
        <v>3809</v>
      </c>
      <c r="G233" s="0" t="s">
        <v>4439</v>
      </c>
    </row>
    <row customHeight="1" ht="11.25">
      <c r="A234" s="379" t="s">
        <v>16</v>
      </c>
      <c r="B234" s="0" t="s">
        <v>4384</v>
      </c>
      <c r="C234" s="0" t="s">
        <v>4385</v>
      </c>
      <c r="D234" s="0" t="s">
        <v>4440</v>
      </c>
      <c r="E234" s="0" t="s">
        <v>4441</v>
      </c>
      <c r="F234" s="0" t="s">
        <v>3809</v>
      </c>
      <c r="G234" s="0" t="s">
        <v>4442</v>
      </c>
    </row>
    <row customHeight="1" ht="11.25">
      <c r="A235" s="379" t="s">
        <v>16</v>
      </c>
      <c r="B235" s="0" t="s">
        <v>101</v>
      </c>
      <c r="C235" s="0" t="s">
        <v>4443</v>
      </c>
      <c r="D235" s="0" t="s">
        <v>102</v>
      </c>
      <c r="E235" s="0" t="s">
        <v>103</v>
      </c>
      <c r="F235" s="0" t="s">
        <v>3827</v>
      </c>
      <c r="G235" s="0" t="s">
        <v>100</v>
      </c>
    </row>
    <row customHeight="1" ht="11.25">
      <c r="A236" s="379" t="s">
        <v>16</v>
      </c>
      <c r="B236" s="0" t="s">
        <v>101</v>
      </c>
      <c r="C236" s="0" t="s">
        <v>4443</v>
      </c>
      <c r="D236" s="0" t="s">
        <v>4444</v>
      </c>
      <c r="E236" s="0" t="s">
        <v>4445</v>
      </c>
      <c r="F236" s="0" t="s">
        <v>3809</v>
      </c>
      <c r="G236" s="0" t="s">
        <v>4446</v>
      </c>
    </row>
    <row customHeight="1" ht="11.25">
      <c r="A237" s="379" t="s">
        <v>16</v>
      </c>
      <c r="B237" s="0" t="s">
        <v>101</v>
      </c>
      <c r="C237" s="0" t="s">
        <v>4443</v>
      </c>
      <c r="D237" s="0" t="s">
        <v>4447</v>
      </c>
      <c r="E237" s="0" t="s">
        <v>4448</v>
      </c>
      <c r="F237" s="0" t="s">
        <v>3846</v>
      </c>
      <c r="G237" s="0" t="s">
        <v>4449</v>
      </c>
    </row>
    <row customHeight="1" ht="11.25">
      <c r="A238" s="379" t="s">
        <v>16</v>
      </c>
      <c r="B238" s="0" t="s">
        <v>101</v>
      </c>
      <c r="C238" s="0" t="s">
        <v>4443</v>
      </c>
      <c r="D238" s="0" t="s">
        <v>101</v>
      </c>
      <c r="E238" s="0" t="s">
        <v>4443</v>
      </c>
      <c r="F238" s="0" t="s">
        <v>3806</v>
      </c>
      <c r="G238" s="0" t="s">
        <v>4450</v>
      </c>
    </row>
    <row customHeight="1" ht="11.25">
      <c r="A239" s="379" t="s">
        <v>16</v>
      </c>
      <c r="B239" s="0" t="s">
        <v>101</v>
      </c>
      <c r="C239" s="0" t="s">
        <v>4443</v>
      </c>
      <c r="D239" s="0" t="s">
        <v>4451</v>
      </c>
      <c r="E239" s="0" t="s">
        <v>4452</v>
      </c>
      <c r="F239" s="0" t="s">
        <v>3816</v>
      </c>
      <c r="G239" s="0" t="s">
        <v>4453</v>
      </c>
    </row>
    <row customHeight="1" ht="11.25">
      <c r="A240" s="379" t="s">
        <v>16</v>
      </c>
      <c r="B240" s="0" t="s">
        <v>101</v>
      </c>
      <c r="C240" s="0" t="s">
        <v>4443</v>
      </c>
      <c r="D240" s="0" t="s">
        <v>4454</v>
      </c>
      <c r="E240" s="0" t="s">
        <v>4455</v>
      </c>
      <c r="F240" s="0" t="s">
        <v>3816</v>
      </c>
      <c r="G240" s="0" t="s">
        <v>4456</v>
      </c>
    </row>
    <row customHeight="1" ht="11.25">
      <c r="A241" s="379" t="s">
        <v>16</v>
      </c>
      <c r="B241" s="0" t="s">
        <v>101</v>
      </c>
      <c r="C241" s="0" t="s">
        <v>4443</v>
      </c>
      <c r="D241" s="0" t="s">
        <v>4457</v>
      </c>
      <c r="E241" s="0" t="s">
        <v>4458</v>
      </c>
      <c r="F241" s="0" t="s">
        <v>3816</v>
      </c>
      <c r="G241" s="0" t="s">
        <v>4459</v>
      </c>
    </row>
    <row customHeight="1" ht="11.25">
      <c r="A242" s="379" t="s">
        <v>16</v>
      </c>
      <c r="B242" s="0" t="s">
        <v>101</v>
      </c>
      <c r="C242" s="0" t="s">
        <v>4443</v>
      </c>
      <c r="D242" s="0" t="s">
        <v>4460</v>
      </c>
      <c r="E242" s="0" t="s">
        <v>4461</v>
      </c>
      <c r="F242" s="0" t="s">
        <v>3816</v>
      </c>
      <c r="G242" s="0" t="s">
        <v>4462</v>
      </c>
    </row>
    <row customHeight="1" ht="11.25">
      <c r="A243" s="379" t="s">
        <v>16</v>
      </c>
      <c r="B243" s="0" t="s">
        <v>101</v>
      </c>
      <c r="C243" s="0" t="s">
        <v>4443</v>
      </c>
      <c r="D243" s="0" t="s">
        <v>4463</v>
      </c>
      <c r="E243" s="0" t="s">
        <v>4464</v>
      </c>
      <c r="F243" s="0" t="s">
        <v>3816</v>
      </c>
      <c r="G243" s="0" t="s">
        <v>4465</v>
      </c>
    </row>
    <row customHeight="1" ht="11.25">
      <c r="A244" s="379" t="s">
        <v>16</v>
      </c>
      <c r="B244" s="0" t="s">
        <v>4466</v>
      </c>
      <c r="C244" s="0" t="s">
        <v>4467</v>
      </c>
      <c r="D244" s="0" t="s">
        <v>4468</v>
      </c>
      <c r="E244" s="0" t="s">
        <v>4469</v>
      </c>
      <c r="F244" s="0" t="s">
        <v>3809</v>
      </c>
      <c r="G244" s="0" t="s">
        <v>4470</v>
      </c>
    </row>
    <row customHeight="1" ht="11.25">
      <c r="A245" s="379" t="s">
        <v>16</v>
      </c>
      <c r="B245" s="0" t="s">
        <v>4466</v>
      </c>
      <c r="C245" s="0" t="s">
        <v>4467</v>
      </c>
      <c r="D245" s="0" t="s">
        <v>4466</v>
      </c>
      <c r="E245" s="0" t="s">
        <v>4467</v>
      </c>
      <c r="F245" s="0" t="s">
        <v>3806</v>
      </c>
      <c r="G245" s="0" t="s">
        <v>4471</v>
      </c>
    </row>
    <row customHeight="1" ht="11.25">
      <c r="A246" s="379" t="s">
        <v>16</v>
      </c>
      <c r="B246" s="0" t="s">
        <v>4466</v>
      </c>
      <c r="C246" s="0" t="s">
        <v>4467</v>
      </c>
      <c r="D246" s="0" t="s">
        <v>4472</v>
      </c>
      <c r="E246" s="0" t="s">
        <v>4473</v>
      </c>
      <c r="F246" s="0" t="s">
        <v>3816</v>
      </c>
      <c r="G246" s="0" t="s">
        <v>4474</v>
      </c>
    </row>
    <row customHeight="1" ht="11.25">
      <c r="A247" s="379" t="s">
        <v>16</v>
      </c>
      <c r="B247" s="0" t="s">
        <v>4466</v>
      </c>
      <c r="C247" s="0" t="s">
        <v>4467</v>
      </c>
      <c r="D247" s="0" t="s">
        <v>4475</v>
      </c>
      <c r="E247" s="0" t="s">
        <v>4476</v>
      </c>
      <c r="F247" s="0" t="s">
        <v>3809</v>
      </c>
      <c r="G247" s="0" t="s">
        <v>4477</v>
      </c>
    </row>
    <row customHeight="1" ht="11.25">
      <c r="A248" s="379" t="s">
        <v>16</v>
      </c>
      <c r="B248" s="0" t="s">
        <v>4466</v>
      </c>
      <c r="C248" s="0" t="s">
        <v>4467</v>
      </c>
      <c r="D248" s="0" t="s">
        <v>4478</v>
      </c>
      <c r="E248" s="0" t="s">
        <v>4479</v>
      </c>
      <c r="F248" s="0" t="s">
        <v>3809</v>
      </c>
      <c r="G248" s="0" t="s">
        <v>4480</v>
      </c>
    </row>
    <row customHeight="1" ht="11.25">
      <c r="A249" s="379" t="s">
        <v>16</v>
      </c>
      <c r="B249" s="0" t="s">
        <v>4481</v>
      </c>
      <c r="C249" s="0" t="s">
        <v>4482</v>
      </c>
      <c r="D249" s="0" t="s">
        <v>4483</v>
      </c>
      <c r="E249" s="0" t="s">
        <v>4484</v>
      </c>
      <c r="F249" s="0" t="s">
        <v>3809</v>
      </c>
      <c r="G249" s="0" t="s">
        <v>4485</v>
      </c>
    </row>
    <row customHeight="1" ht="11.25">
      <c r="A250" s="379" t="s">
        <v>16</v>
      </c>
      <c r="B250" s="0" t="s">
        <v>4481</v>
      </c>
      <c r="C250" s="0" t="s">
        <v>4482</v>
      </c>
      <c r="D250" s="0" t="s">
        <v>4486</v>
      </c>
      <c r="E250" s="0" t="s">
        <v>4487</v>
      </c>
      <c r="F250" s="0" t="s">
        <v>3809</v>
      </c>
      <c r="G250" s="0" t="s">
        <v>4488</v>
      </c>
    </row>
    <row customHeight="1" ht="11.25">
      <c r="A251" s="379" t="s">
        <v>16</v>
      </c>
      <c r="B251" s="0" t="s">
        <v>4481</v>
      </c>
      <c r="C251" s="0" t="s">
        <v>4482</v>
      </c>
      <c r="D251" s="0" t="s">
        <v>4489</v>
      </c>
      <c r="E251" s="0" t="s">
        <v>4490</v>
      </c>
      <c r="F251" s="0" t="s">
        <v>3827</v>
      </c>
      <c r="G251" s="0" t="s">
        <v>4491</v>
      </c>
    </row>
    <row customHeight="1" ht="11.25">
      <c r="A252" s="379" t="s">
        <v>16</v>
      </c>
      <c r="B252" s="0" t="s">
        <v>4481</v>
      </c>
      <c r="C252" s="0" t="s">
        <v>4482</v>
      </c>
      <c r="D252" s="0" t="s">
        <v>4492</v>
      </c>
      <c r="E252" s="0" t="s">
        <v>4493</v>
      </c>
      <c r="F252" s="0" t="s">
        <v>3809</v>
      </c>
      <c r="G252" s="0" t="s">
        <v>4494</v>
      </c>
    </row>
    <row customHeight="1" ht="11.25">
      <c r="A253" s="379" t="s">
        <v>16</v>
      </c>
      <c r="B253" s="0" t="s">
        <v>4481</v>
      </c>
      <c r="C253" s="0" t="s">
        <v>4482</v>
      </c>
      <c r="D253" s="0" t="s">
        <v>4391</v>
      </c>
      <c r="E253" s="0" t="s">
        <v>4495</v>
      </c>
      <c r="F253" s="0" t="s">
        <v>3809</v>
      </c>
      <c r="G253" s="0" t="s">
        <v>4496</v>
      </c>
    </row>
    <row customHeight="1" ht="11.25">
      <c r="A254" s="379" t="s">
        <v>16</v>
      </c>
      <c r="B254" s="0" t="s">
        <v>4481</v>
      </c>
      <c r="C254" s="0" t="s">
        <v>4482</v>
      </c>
      <c r="D254" s="0" t="s">
        <v>4497</v>
      </c>
      <c r="E254" s="0" t="s">
        <v>4498</v>
      </c>
      <c r="F254" s="0" t="s">
        <v>3809</v>
      </c>
      <c r="G254" s="0" t="s">
        <v>4499</v>
      </c>
    </row>
    <row customHeight="1" ht="11.25">
      <c r="A255" s="379" t="s">
        <v>16</v>
      </c>
      <c r="B255" s="0" t="s">
        <v>4481</v>
      </c>
      <c r="C255" s="0" t="s">
        <v>4482</v>
      </c>
      <c r="D255" s="0" t="s">
        <v>4500</v>
      </c>
      <c r="E255" s="0" t="s">
        <v>4501</v>
      </c>
      <c r="F255" s="0" t="s">
        <v>3809</v>
      </c>
      <c r="G255" s="0" t="s">
        <v>4502</v>
      </c>
    </row>
    <row customHeight="1" ht="11.25">
      <c r="A256" s="379" t="s">
        <v>16</v>
      </c>
      <c r="B256" s="0" t="s">
        <v>4481</v>
      </c>
      <c r="C256" s="0" t="s">
        <v>4482</v>
      </c>
      <c r="D256" s="0" t="s">
        <v>4503</v>
      </c>
      <c r="E256" s="0" t="s">
        <v>4504</v>
      </c>
      <c r="F256" s="0" t="s">
        <v>3809</v>
      </c>
      <c r="G256" s="0" t="s">
        <v>4505</v>
      </c>
    </row>
    <row customHeight="1" ht="11.25">
      <c r="A257" s="379" t="s">
        <v>16</v>
      </c>
      <c r="B257" s="0" t="s">
        <v>4481</v>
      </c>
      <c r="C257" s="0" t="s">
        <v>4482</v>
      </c>
      <c r="D257" s="0" t="s">
        <v>4506</v>
      </c>
      <c r="E257" s="0" t="s">
        <v>4507</v>
      </c>
      <c r="F257" s="0" t="s">
        <v>3809</v>
      </c>
      <c r="G257" s="0" t="s">
        <v>4508</v>
      </c>
    </row>
    <row customHeight="1" ht="11.25">
      <c r="A258" s="379" t="s">
        <v>16</v>
      </c>
      <c r="B258" s="0" t="s">
        <v>4481</v>
      </c>
      <c r="C258" s="0" t="s">
        <v>4482</v>
      </c>
      <c r="D258" s="0" t="s">
        <v>4509</v>
      </c>
      <c r="E258" s="0" t="s">
        <v>4510</v>
      </c>
      <c r="F258" s="0" t="s">
        <v>3809</v>
      </c>
      <c r="G258" s="0" t="s">
        <v>4511</v>
      </c>
    </row>
    <row customHeight="1" ht="11.25">
      <c r="A259" s="379" t="s">
        <v>16</v>
      </c>
      <c r="B259" s="0" t="s">
        <v>4481</v>
      </c>
      <c r="C259" s="0" t="s">
        <v>4482</v>
      </c>
      <c r="D259" s="0" t="s">
        <v>4512</v>
      </c>
      <c r="E259" s="0" t="s">
        <v>4513</v>
      </c>
      <c r="F259" s="0" t="s">
        <v>3809</v>
      </c>
      <c r="G259" s="0" t="s">
        <v>4514</v>
      </c>
    </row>
    <row customHeight="1" ht="11.25">
      <c r="A260" s="379" t="s">
        <v>16</v>
      </c>
      <c r="B260" s="0" t="s">
        <v>4481</v>
      </c>
      <c r="C260" s="0" t="s">
        <v>4482</v>
      </c>
      <c r="D260" s="0" t="s">
        <v>4515</v>
      </c>
      <c r="E260" s="0" t="s">
        <v>4516</v>
      </c>
      <c r="F260" s="0" t="s">
        <v>3809</v>
      </c>
      <c r="G260" s="0" t="s">
        <v>4517</v>
      </c>
    </row>
    <row customHeight="1" ht="11.25">
      <c r="A261" s="379" t="s">
        <v>16</v>
      </c>
      <c r="B261" s="0" t="s">
        <v>4481</v>
      </c>
      <c r="C261" s="0" t="s">
        <v>4482</v>
      </c>
      <c r="D261" s="0" t="s">
        <v>4481</v>
      </c>
      <c r="E261" s="0" t="s">
        <v>4482</v>
      </c>
      <c r="F261" s="0" t="s">
        <v>3806</v>
      </c>
      <c r="G261" s="0" t="s">
        <v>4518</v>
      </c>
    </row>
    <row customHeight="1" ht="11.25">
      <c r="A262" s="379" t="s">
        <v>16</v>
      </c>
      <c r="B262" s="0" t="s">
        <v>4481</v>
      </c>
      <c r="C262" s="0" t="s">
        <v>4482</v>
      </c>
      <c r="D262" s="0" t="s">
        <v>4123</v>
      </c>
      <c r="E262" s="0" t="s">
        <v>4519</v>
      </c>
      <c r="F262" s="0" t="s">
        <v>3809</v>
      </c>
      <c r="G262" s="0" t="s">
        <v>4520</v>
      </c>
    </row>
    <row customHeight="1" ht="11.25">
      <c r="A263" s="379" t="s">
        <v>16</v>
      </c>
      <c r="B263" s="0" t="s">
        <v>4481</v>
      </c>
      <c r="C263" s="0" t="s">
        <v>4482</v>
      </c>
      <c r="D263" s="0" t="s">
        <v>4521</v>
      </c>
      <c r="E263" s="0" t="s">
        <v>4522</v>
      </c>
      <c r="F263" s="0" t="s">
        <v>3809</v>
      </c>
      <c r="G263" s="0" t="s">
        <v>4523</v>
      </c>
    </row>
    <row customHeight="1" ht="11.25">
      <c r="A264" s="379" t="s">
        <v>16</v>
      </c>
      <c r="B264" s="0" t="s">
        <v>4481</v>
      </c>
      <c r="C264" s="0" t="s">
        <v>4482</v>
      </c>
      <c r="D264" s="0" t="s">
        <v>4524</v>
      </c>
      <c r="E264" s="0" t="s">
        <v>4525</v>
      </c>
      <c r="F264" s="0" t="s">
        <v>3809</v>
      </c>
      <c r="G264" s="0" t="s">
        <v>4526</v>
      </c>
    </row>
    <row customHeight="1" ht="11.25">
      <c r="A265" s="379" t="s">
        <v>16</v>
      </c>
      <c r="B265" s="0" t="s">
        <v>4481</v>
      </c>
      <c r="C265" s="0" t="s">
        <v>4482</v>
      </c>
      <c r="D265" s="0" t="s">
        <v>4527</v>
      </c>
      <c r="E265" s="0" t="s">
        <v>4528</v>
      </c>
      <c r="F265" s="0" t="s">
        <v>3809</v>
      </c>
      <c r="G265" s="0" t="s">
        <v>4529</v>
      </c>
    </row>
    <row customHeight="1" ht="11.25">
      <c r="A266" s="379" t="s">
        <v>16</v>
      </c>
      <c r="B266" s="0" t="s">
        <v>4481</v>
      </c>
      <c r="C266" s="0" t="s">
        <v>4482</v>
      </c>
      <c r="D266" s="0" t="s">
        <v>4530</v>
      </c>
      <c r="E266" s="0" t="s">
        <v>4531</v>
      </c>
      <c r="F266" s="0" t="s">
        <v>3809</v>
      </c>
      <c r="G266" s="0" t="s">
        <v>4532</v>
      </c>
    </row>
    <row customHeight="1" ht="11.25">
      <c r="A267" s="379" t="s">
        <v>16</v>
      </c>
      <c r="B267" s="0" t="s">
        <v>4481</v>
      </c>
      <c r="C267" s="0" t="s">
        <v>4482</v>
      </c>
      <c r="D267" s="0" t="s">
        <v>4533</v>
      </c>
      <c r="E267" s="0" t="s">
        <v>4534</v>
      </c>
      <c r="F267" s="0" t="s">
        <v>3809</v>
      </c>
      <c r="G267" s="0" t="s">
        <v>4535</v>
      </c>
    </row>
    <row customHeight="1" ht="11.25">
      <c r="A268" s="379" t="s">
        <v>16</v>
      </c>
      <c r="B268" s="0" t="s">
        <v>4481</v>
      </c>
      <c r="C268" s="0" t="s">
        <v>4482</v>
      </c>
      <c r="D268" s="0" t="s">
        <v>4536</v>
      </c>
      <c r="E268" s="0" t="s">
        <v>4537</v>
      </c>
      <c r="F268" s="0" t="s">
        <v>3809</v>
      </c>
      <c r="G268" s="0" t="s">
        <v>4538</v>
      </c>
    </row>
    <row customHeight="1" ht="11.25">
      <c r="A269" s="379" t="s">
        <v>16</v>
      </c>
      <c r="B269" s="0" t="s">
        <v>4539</v>
      </c>
      <c r="C269" s="0" t="s">
        <v>4540</v>
      </c>
      <c r="D269" s="0" t="s">
        <v>4541</v>
      </c>
      <c r="E269" s="0" t="s">
        <v>4542</v>
      </c>
      <c r="F269" s="0" t="s">
        <v>3809</v>
      </c>
      <c r="G269" s="0" t="s">
        <v>4543</v>
      </c>
    </row>
    <row customHeight="1" ht="11.25">
      <c r="A270" s="379" t="s">
        <v>16</v>
      </c>
      <c r="B270" s="0" t="s">
        <v>4539</v>
      </c>
      <c r="C270" s="0" t="s">
        <v>4540</v>
      </c>
      <c r="D270" s="0" t="s">
        <v>4544</v>
      </c>
      <c r="E270" s="0" t="s">
        <v>4545</v>
      </c>
      <c r="F270" s="0" t="s">
        <v>3846</v>
      </c>
      <c r="G270" s="0" t="s">
        <v>4546</v>
      </c>
    </row>
    <row customHeight="1" ht="11.25">
      <c r="A271" s="379" t="s">
        <v>16</v>
      </c>
      <c r="B271" s="0" t="s">
        <v>4539</v>
      </c>
      <c r="C271" s="0" t="s">
        <v>4540</v>
      </c>
      <c r="D271" s="0" t="s">
        <v>4547</v>
      </c>
      <c r="E271" s="0" t="s">
        <v>4548</v>
      </c>
      <c r="F271" s="0" t="s">
        <v>3809</v>
      </c>
      <c r="G271" s="0" t="s">
        <v>4549</v>
      </c>
    </row>
    <row customHeight="1" ht="11.25">
      <c r="A272" s="379" t="s">
        <v>16</v>
      </c>
      <c r="B272" s="0" t="s">
        <v>4539</v>
      </c>
      <c r="C272" s="0" t="s">
        <v>4540</v>
      </c>
      <c r="D272" s="0" t="s">
        <v>4539</v>
      </c>
      <c r="E272" s="0" t="s">
        <v>4540</v>
      </c>
      <c r="F272" s="0" t="s">
        <v>3806</v>
      </c>
      <c r="G272" s="0" t="s">
        <v>4550</v>
      </c>
    </row>
    <row customHeight="1" ht="11.25">
      <c r="A273" s="379" t="s">
        <v>16</v>
      </c>
      <c r="B273" s="0" t="s">
        <v>4539</v>
      </c>
      <c r="C273" s="0" t="s">
        <v>4540</v>
      </c>
      <c r="D273" s="0" t="s">
        <v>4551</v>
      </c>
      <c r="E273" s="0" t="s">
        <v>4552</v>
      </c>
      <c r="F273" s="0" t="s">
        <v>3816</v>
      </c>
      <c r="G273" s="0" t="s">
        <v>4553</v>
      </c>
    </row>
    <row customHeight="1" ht="11.25">
      <c r="A274" s="379" t="s">
        <v>16</v>
      </c>
      <c r="B274" s="0" t="s">
        <v>4539</v>
      </c>
      <c r="C274" s="0" t="s">
        <v>4540</v>
      </c>
      <c r="D274" s="0" t="s">
        <v>4554</v>
      </c>
      <c r="E274" s="0" t="s">
        <v>4555</v>
      </c>
      <c r="F274" s="0" t="s">
        <v>3816</v>
      </c>
      <c r="G274" s="0" t="s">
        <v>4556</v>
      </c>
    </row>
    <row customHeight="1" ht="11.25">
      <c r="A275" s="379" t="s">
        <v>16</v>
      </c>
      <c r="B275" s="0" t="s">
        <v>4539</v>
      </c>
      <c r="C275" s="0" t="s">
        <v>4540</v>
      </c>
      <c r="D275" s="0" t="s">
        <v>4557</v>
      </c>
      <c r="E275" s="0" t="s">
        <v>4558</v>
      </c>
      <c r="F275" s="0" t="s">
        <v>3809</v>
      </c>
      <c r="G275" s="0" t="s">
        <v>4559</v>
      </c>
    </row>
    <row customHeight="1" ht="11.25">
      <c r="A276" s="379" t="s">
        <v>16</v>
      </c>
      <c r="B276" s="0" t="s">
        <v>4539</v>
      </c>
      <c r="C276" s="0" t="s">
        <v>4540</v>
      </c>
      <c r="D276" s="0" t="s">
        <v>4560</v>
      </c>
      <c r="E276" s="0" t="s">
        <v>4561</v>
      </c>
      <c r="F276" s="0" t="s">
        <v>3809</v>
      </c>
      <c r="G276" s="0" t="s">
        <v>4562</v>
      </c>
    </row>
    <row customHeight="1" ht="11.25">
      <c r="A277" s="379" t="s">
        <v>16</v>
      </c>
      <c r="B277" s="0" t="s">
        <v>4539</v>
      </c>
      <c r="C277" s="0" t="s">
        <v>4540</v>
      </c>
      <c r="D277" s="0" t="s">
        <v>4563</v>
      </c>
      <c r="E277" s="0" t="s">
        <v>4564</v>
      </c>
      <c r="F277" s="0" t="s">
        <v>3809</v>
      </c>
      <c r="G277" s="0" t="s">
        <v>4565</v>
      </c>
    </row>
    <row customHeight="1" ht="11.25">
      <c r="A278" s="379" t="s">
        <v>16</v>
      </c>
      <c r="B278" s="0" t="s">
        <v>4566</v>
      </c>
      <c r="C278" s="0" t="s">
        <v>4567</v>
      </c>
      <c r="D278" s="0" t="s">
        <v>3855</v>
      </c>
      <c r="E278" s="0" t="s">
        <v>4568</v>
      </c>
      <c r="F278" s="0" t="s">
        <v>3809</v>
      </c>
      <c r="G278" s="0" t="s">
        <v>4569</v>
      </c>
    </row>
    <row customHeight="1" ht="11.25">
      <c r="A279" s="379" t="s">
        <v>16</v>
      </c>
      <c r="B279" s="0" t="s">
        <v>4566</v>
      </c>
      <c r="C279" s="0" t="s">
        <v>4567</v>
      </c>
      <c r="D279" s="0" t="s">
        <v>4570</v>
      </c>
      <c r="E279" s="0" t="s">
        <v>4571</v>
      </c>
      <c r="F279" s="0" t="s">
        <v>3827</v>
      </c>
      <c r="G279" s="0" t="s">
        <v>4572</v>
      </c>
    </row>
    <row customHeight="1" ht="11.25">
      <c r="A280" s="379" t="s">
        <v>16</v>
      </c>
      <c r="B280" s="0" t="s">
        <v>4566</v>
      </c>
      <c r="C280" s="0" t="s">
        <v>4567</v>
      </c>
      <c r="D280" s="0" t="s">
        <v>4573</v>
      </c>
      <c r="E280" s="0" t="s">
        <v>4574</v>
      </c>
      <c r="F280" s="0" t="s">
        <v>3809</v>
      </c>
      <c r="G280" s="0" t="s">
        <v>4575</v>
      </c>
    </row>
    <row customHeight="1" ht="11.25">
      <c r="A281" s="379" t="s">
        <v>16</v>
      </c>
      <c r="B281" s="0" t="s">
        <v>4566</v>
      </c>
      <c r="C281" s="0" t="s">
        <v>4567</v>
      </c>
      <c r="D281" s="0" t="s">
        <v>4576</v>
      </c>
      <c r="E281" s="0" t="s">
        <v>4577</v>
      </c>
      <c r="F281" s="0" t="s">
        <v>3809</v>
      </c>
      <c r="G281" s="0" t="s">
        <v>4578</v>
      </c>
    </row>
    <row customHeight="1" ht="11.25">
      <c r="A282" s="379" t="s">
        <v>16</v>
      </c>
      <c r="B282" s="0" t="s">
        <v>4566</v>
      </c>
      <c r="C282" s="0" t="s">
        <v>4567</v>
      </c>
      <c r="D282" s="0" t="s">
        <v>4579</v>
      </c>
      <c r="E282" s="0" t="s">
        <v>4580</v>
      </c>
      <c r="F282" s="0" t="s">
        <v>3809</v>
      </c>
      <c r="G282" s="0" t="s">
        <v>4581</v>
      </c>
    </row>
    <row customHeight="1" ht="11.25">
      <c r="A283" s="379" t="s">
        <v>16</v>
      </c>
      <c r="B283" s="0" t="s">
        <v>4566</v>
      </c>
      <c r="C283" s="0" t="s">
        <v>4567</v>
      </c>
      <c r="D283" s="0" t="s">
        <v>4582</v>
      </c>
      <c r="E283" s="0" t="s">
        <v>4583</v>
      </c>
      <c r="F283" s="0" t="s">
        <v>3809</v>
      </c>
      <c r="G283" s="0" t="s">
        <v>4584</v>
      </c>
    </row>
    <row customHeight="1" ht="11.25">
      <c r="A284" s="379" t="s">
        <v>16</v>
      </c>
      <c r="B284" s="0" t="s">
        <v>4566</v>
      </c>
      <c r="C284" s="0" t="s">
        <v>4567</v>
      </c>
      <c r="D284" s="0" t="s">
        <v>4585</v>
      </c>
      <c r="E284" s="0" t="s">
        <v>4586</v>
      </c>
      <c r="F284" s="0" t="s">
        <v>3809</v>
      </c>
      <c r="G284" s="0" t="s">
        <v>4587</v>
      </c>
    </row>
    <row customHeight="1" ht="11.25">
      <c r="A285" s="379" t="s">
        <v>16</v>
      </c>
      <c r="B285" s="0" t="s">
        <v>4566</v>
      </c>
      <c r="C285" s="0" t="s">
        <v>4567</v>
      </c>
      <c r="D285" s="0" t="s">
        <v>4588</v>
      </c>
      <c r="E285" s="0" t="s">
        <v>4589</v>
      </c>
      <c r="F285" s="0" t="s">
        <v>3809</v>
      </c>
      <c r="G285" s="0" t="s">
        <v>4590</v>
      </c>
    </row>
    <row customHeight="1" ht="11.25">
      <c r="A286" s="379" t="s">
        <v>16</v>
      </c>
      <c r="B286" s="0" t="s">
        <v>4566</v>
      </c>
      <c r="C286" s="0" t="s">
        <v>4567</v>
      </c>
      <c r="D286" s="0" t="s">
        <v>4506</v>
      </c>
      <c r="E286" s="0" t="s">
        <v>4591</v>
      </c>
      <c r="F286" s="0" t="s">
        <v>3809</v>
      </c>
      <c r="G286" s="0" t="s">
        <v>4592</v>
      </c>
    </row>
    <row customHeight="1" ht="11.25">
      <c r="A287" s="379" t="s">
        <v>16</v>
      </c>
      <c r="B287" s="0" t="s">
        <v>4566</v>
      </c>
      <c r="C287" s="0" t="s">
        <v>4567</v>
      </c>
      <c r="D287" s="0" t="s">
        <v>4593</v>
      </c>
      <c r="E287" s="0" t="s">
        <v>4594</v>
      </c>
      <c r="F287" s="0" t="s">
        <v>3809</v>
      </c>
      <c r="G287" s="0" t="s">
        <v>4595</v>
      </c>
    </row>
    <row customHeight="1" ht="11.25">
      <c r="A288" s="379" t="s">
        <v>16</v>
      </c>
      <c r="B288" s="0" t="s">
        <v>4566</v>
      </c>
      <c r="C288" s="0" t="s">
        <v>4567</v>
      </c>
      <c r="D288" s="0" t="s">
        <v>4596</v>
      </c>
      <c r="E288" s="0" t="s">
        <v>4597</v>
      </c>
      <c r="F288" s="0" t="s">
        <v>3809</v>
      </c>
      <c r="G288" s="0" t="s">
        <v>4598</v>
      </c>
    </row>
    <row customHeight="1" ht="11.25">
      <c r="A289" s="379" t="s">
        <v>16</v>
      </c>
      <c r="B289" s="0" t="s">
        <v>4566</v>
      </c>
      <c r="C289" s="0" t="s">
        <v>4567</v>
      </c>
      <c r="D289" s="0" t="s">
        <v>4599</v>
      </c>
      <c r="E289" s="0" t="s">
        <v>4600</v>
      </c>
      <c r="F289" s="0" t="s">
        <v>3809</v>
      </c>
      <c r="G289" s="0" t="s">
        <v>4601</v>
      </c>
    </row>
    <row customHeight="1" ht="11.25">
      <c r="A290" s="379" t="s">
        <v>16</v>
      </c>
      <c r="B290" s="0" t="s">
        <v>4566</v>
      </c>
      <c r="C290" s="0" t="s">
        <v>4567</v>
      </c>
      <c r="D290" s="0" t="s">
        <v>4566</v>
      </c>
      <c r="E290" s="0" t="s">
        <v>4567</v>
      </c>
      <c r="F290" s="0" t="s">
        <v>3806</v>
      </c>
      <c r="G290" s="0" t="s">
        <v>4602</v>
      </c>
    </row>
    <row customHeight="1" ht="11.25">
      <c r="A291" s="379" t="s">
        <v>16</v>
      </c>
      <c r="B291" s="0" t="s">
        <v>4566</v>
      </c>
      <c r="C291" s="0" t="s">
        <v>4567</v>
      </c>
      <c r="D291" s="0" t="s">
        <v>4603</v>
      </c>
      <c r="E291" s="0" t="s">
        <v>4604</v>
      </c>
      <c r="F291" s="0" t="s">
        <v>3809</v>
      </c>
      <c r="G291" s="0" t="s">
        <v>4605</v>
      </c>
    </row>
    <row customHeight="1" ht="11.25">
      <c r="A292" s="379" t="s">
        <v>16</v>
      </c>
      <c r="B292" s="0" t="s">
        <v>4566</v>
      </c>
      <c r="C292" s="0" t="s">
        <v>4567</v>
      </c>
      <c r="D292" s="0" t="s">
        <v>4606</v>
      </c>
      <c r="E292" s="0" t="s">
        <v>4607</v>
      </c>
      <c r="F292" s="0" t="s">
        <v>3809</v>
      </c>
      <c r="G292" s="0" t="s">
        <v>4608</v>
      </c>
    </row>
    <row customHeight="1" ht="11.25">
      <c r="A293" s="379" t="s">
        <v>16</v>
      </c>
      <c r="B293" s="0" t="s">
        <v>4566</v>
      </c>
      <c r="C293" s="0" t="s">
        <v>4567</v>
      </c>
      <c r="D293" s="0" t="s">
        <v>4609</v>
      </c>
      <c r="E293" s="0" t="s">
        <v>4610</v>
      </c>
      <c r="F293" s="0" t="s">
        <v>3809</v>
      </c>
      <c r="G293" s="0" t="s">
        <v>4611</v>
      </c>
    </row>
    <row customHeight="1" ht="11.25">
      <c r="A294" s="379" t="s">
        <v>16</v>
      </c>
      <c r="B294" s="0" t="s">
        <v>4566</v>
      </c>
      <c r="C294" s="0" t="s">
        <v>4567</v>
      </c>
      <c r="D294" s="0" t="s">
        <v>4612</v>
      </c>
      <c r="E294" s="0" t="s">
        <v>4613</v>
      </c>
      <c r="F294" s="0" t="s">
        <v>3809</v>
      </c>
      <c r="G294" s="0" t="s">
        <v>4614</v>
      </c>
    </row>
    <row customHeight="1" ht="11.25">
      <c r="A295" s="379" t="s">
        <v>16</v>
      </c>
      <c r="B295" s="0" t="s">
        <v>4566</v>
      </c>
      <c r="C295" s="0" t="s">
        <v>4567</v>
      </c>
      <c r="D295" s="0" t="s">
        <v>4615</v>
      </c>
      <c r="E295" s="0" t="s">
        <v>4616</v>
      </c>
      <c r="F295" s="0" t="s">
        <v>3809</v>
      </c>
      <c r="G295" s="0" t="s">
        <v>4617</v>
      </c>
    </row>
    <row customHeight="1" ht="11.25">
      <c r="A296" s="379" t="s">
        <v>16</v>
      </c>
      <c r="B296" s="0" t="s">
        <v>4566</v>
      </c>
      <c r="C296" s="0" t="s">
        <v>4567</v>
      </c>
      <c r="D296" s="0" t="s">
        <v>4618</v>
      </c>
      <c r="E296" s="0" t="s">
        <v>4619</v>
      </c>
      <c r="F296" s="0" t="s">
        <v>3809</v>
      </c>
      <c r="G296" s="0" t="s">
        <v>4620</v>
      </c>
    </row>
    <row customHeight="1" ht="11.25">
      <c r="A297" s="379" t="s">
        <v>16</v>
      </c>
      <c r="B297" s="0" t="s">
        <v>4566</v>
      </c>
      <c r="C297" s="0" t="s">
        <v>4567</v>
      </c>
      <c r="D297" s="0" t="s">
        <v>4621</v>
      </c>
      <c r="E297" s="0" t="s">
        <v>4622</v>
      </c>
      <c r="F297" s="0" t="s">
        <v>3809</v>
      </c>
      <c r="G297" s="0" t="s">
        <v>4623</v>
      </c>
    </row>
    <row customHeight="1" ht="11.25">
      <c r="A298" s="379" t="s">
        <v>16</v>
      </c>
      <c r="B298" s="0" t="s">
        <v>4566</v>
      </c>
      <c r="C298" s="0" t="s">
        <v>4567</v>
      </c>
      <c r="D298" s="0" t="s">
        <v>4624</v>
      </c>
      <c r="E298" s="0" t="s">
        <v>4625</v>
      </c>
      <c r="F298" s="0" t="s">
        <v>3809</v>
      </c>
      <c r="G298" s="0" t="s">
        <v>4626</v>
      </c>
    </row>
    <row customHeight="1" ht="11.25">
      <c r="A299" s="379" t="s">
        <v>16</v>
      </c>
      <c r="B299" s="0" t="s">
        <v>4566</v>
      </c>
      <c r="C299" s="0" t="s">
        <v>4567</v>
      </c>
      <c r="D299" s="0" t="s">
        <v>3955</v>
      </c>
      <c r="E299" s="0" t="s">
        <v>4627</v>
      </c>
      <c r="F299" s="0" t="s">
        <v>3809</v>
      </c>
      <c r="G299" s="0" t="s">
        <v>4628</v>
      </c>
    </row>
    <row customHeight="1" ht="11.25">
      <c r="A300" s="379" t="s">
        <v>16</v>
      </c>
      <c r="B300" s="0" t="s">
        <v>4566</v>
      </c>
      <c r="C300" s="0" t="s">
        <v>4567</v>
      </c>
      <c r="D300" s="0" t="s">
        <v>4629</v>
      </c>
      <c r="E300" s="0" t="s">
        <v>4630</v>
      </c>
      <c r="F300" s="0" t="s">
        <v>3809</v>
      </c>
      <c r="G300" s="0" t="s">
        <v>4631</v>
      </c>
    </row>
    <row customHeight="1" ht="11.25">
      <c r="A301" s="379" t="s">
        <v>16</v>
      </c>
      <c r="B301" s="0" t="s">
        <v>4566</v>
      </c>
      <c r="C301" s="0" t="s">
        <v>4567</v>
      </c>
      <c r="D301" s="0" t="s">
        <v>4632</v>
      </c>
      <c r="E301" s="0" t="s">
        <v>4633</v>
      </c>
      <c r="F301" s="0" t="s">
        <v>3809</v>
      </c>
      <c r="G301" s="0" t="s">
        <v>4634</v>
      </c>
    </row>
    <row customHeight="1" ht="11.25">
      <c r="A302" s="379" t="s">
        <v>16</v>
      </c>
      <c r="B302" s="0" t="s">
        <v>4635</v>
      </c>
      <c r="C302" s="0" t="s">
        <v>4636</v>
      </c>
      <c r="D302" s="0" t="s">
        <v>4637</v>
      </c>
      <c r="E302" s="0" t="s">
        <v>4638</v>
      </c>
      <c r="F302" s="0" t="s">
        <v>3809</v>
      </c>
      <c r="G302" s="0" t="s">
        <v>4639</v>
      </c>
    </row>
    <row customHeight="1" ht="11.25">
      <c r="A303" s="379" t="s">
        <v>16</v>
      </c>
      <c r="B303" s="0" t="s">
        <v>4635</v>
      </c>
      <c r="C303" s="0" t="s">
        <v>4636</v>
      </c>
      <c r="D303" s="0" t="s">
        <v>4640</v>
      </c>
      <c r="E303" s="0" t="s">
        <v>4641</v>
      </c>
      <c r="F303" s="0" t="s">
        <v>3809</v>
      </c>
      <c r="G303" s="0" t="s">
        <v>4642</v>
      </c>
    </row>
    <row customHeight="1" ht="11.25">
      <c r="A304" s="379" t="s">
        <v>16</v>
      </c>
      <c r="B304" s="0" t="s">
        <v>4635</v>
      </c>
      <c r="C304" s="0" t="s">
        <v>4636</v>
      </c>
      <c r="D304" s="0" t="s">
        <v>4643</v>
      </c>
      <c r="E304" s="0" t="s">
        <v>4644</v>
      </c>
      <c r="F304" s="0" t="s">
        <v>3846</v>
      </c>
      <c r="G304" s="0" t="s">
        <v>4645</v>
      </c>
    </row>
    <row customHeight="1" ht="11.25">
      <c r="A305" s="379" t="s">
        <v>16</v>
      </c>
      <c r="B305" s="0" t="s">
        <v>4635</v>
      </c>
      <c r="C305" s="0" t="s">
        <v>4636</v>
      </c>
      <c r="D305" s="0" t="s">
        <v>4646</v>
      </c>
      <c r="E305" s="0" t="s">
        <v>4647</v>
      </c>
      <c r="F305" s="0" t="s">
        <v>3809</v>
      </c>
      <c r="G305" s="0" t="s">
        <v>4648</v>
      </c>
    </row>
    <row customHeight="1" ht="11.25">
      <c r="A306" s="379" t="s">
        <v>16</v>
      </c>
      <c r="B306" s="0" t="s">
        <v>4635</v>
      </c>
      <c r="C306" s="0" t="s">
        <v>4636</v>
      </c>
      <c r="D306" s="0" t="s">
        <v>4635</v>
      </c>
      <c r="E306" s="0" t="s">
        <v>4636</v>
      </c>
      <c r="F306" s="0" t="s">
        <v>3806</v>
      </c>
      <c r="G306" s="0" t="s">
        <v>4649</v>
      </c>
    </row>
    <row customHeight="1" ht="11.25">
      <c r="A307" s="379" t="s">
        <v>16</v>
      </c>
      <c r="B307" s="0" t="s">
        <v>4635</v>
      </c>
      <c r="C307" s="0" t="s">
        <v>4636</v>
      </c>
      <c r="D307" s="0" t="s">
        <v>4650</v>
      </c>
      <c r="E307" s="0" t="s">
        <v>4651</v>
      </c>
      <c r="F307" s="0" t="s">
        <v>3809</v>
      </c>
      <c r="G307" s="0" t="s">
        <v>4652</v>
      </c>
    </row>
    <row customHeight="1" ht="11.25">
      <c r="A308" s="379" t="s">
        <v>16</v>
      </c>
      <c r="B308" s="0" t="s">
        <v>4653</v>
      </c>
      <c r="C308" s="0" t="s">
        <v>4654</v>
      </c>
      <c r="D308" s="0" t="s">
        <v>4655</v>
      </c>
      <c r="E308" s="0" t="s">
        <v>4656</v>
      </c>
      <c r="F308" s="0" t="s">
        <v>3809</v>
      </c>
      <c r="G308" s="0" t="s">
        <v>4657</v>
      </c>
    </row>
    <row customHeight="1" ht="11.25">
      <c r="A309" s="379" t="s">
        <v>16</v>
      </c>
      <c r="B309" s="0" t="s">
        <v>4653</v>
      </c>
      <c r="C309" s="0" t="s">
        <v>4654</v>
      </c>
      <c r="D309" s="0" t="s">
        <v>4658</v>
      </c>
      <c r="E309" s="0" t="s">
        <v>4659</v>
      </c>
      <c r="F309" s="0" t="s">
        <v>3809</v>
      </c>
      <c r="G309" s="0" t="s">
        <v>4660</v>
      </c>
    </row>
    <row customHeight="1" ht="11.25">
      <c r="A310" s="379" t="s">
        <v>16</v>
      </c>
      <c r="B310" s="0" t="s">
        <v>4653</v>
      </c>
      <c r="C310" s="0" t="s">
        <v>4654</v>
      </c>
      <c r="D310" s="0" t="s">
        <v>4661</v>
      </c>
      <c r="E310" s="0" t="s">
        <v>4662</v>
      </c>
      <c r="F310" s="0" t="s">
        <v>3809</v>
      </c>
      <c r="G310" s="0" t="s">
        <v>4663</v>
      </c>
    </row>
    <row customHeight="1" ht="11.25">
      <c r="A311" s="379" t="s">
        <v>16</v>
      </c>
      <c r="B311" s="0" t="s">
        <v>4653</v>
      </c>
      <c r="C311" s="0" t="s">
        <v>4654</v>
      </c>
      <c r="D311" s="0" t="s">
        <v>4664</v>
      </c>
      <c r="E311" s="0" t="s">
        <v>4665</v>
      </c>
      <c r="F311" s="0" t="s">
        <v>3827</v>
      </c>
      <c r="G311" s="0" t="s">
        <v>4666</v>
      </c>
    </row>
    <row customHeight="1" ht="11.25">
      <c r="A312" s="379" t="s">
        <v>16</v>
      </c>
      <c r="B312" s="0" t="s">
        <v>4653</v>
      </c>
      <c r="C312" s="0" t="s">
        <v>4654</v>
      </c>
      <c r="D312" s="0" t="s">
        <v>4667</v>
      </c>
      <c r="E312" s="0" t="s">
        <v>4668</v>
      </c>
      <c r="F312" s="0" t="s">
        <v>3809</v>
      </c>
      <c r="G312" s="0" t="s">
        <v>4669</v>
      </c>
    </row>
    <row customHeight="1" ht="11.25">
      <c r="A313" s="379" t="s">
        <v>16</v>
      </c>
      <c r="B313" s="0" t="s">
        <v>4653</v>
      </c>
      <c r="C313" s="0" t="s">
        <v>4654</v>
      </c>
      <c r="D313" s="0" t="s">
        <v>4670</v>
      </c>
      <c r="E313" s="0" t="s">
        <v>4671</v>
      </c>
      <c r="F313" s="0" t="s">
        <v>3809</v>
      </c>
      <c r="G313" s="0" t="s">
        <v>4672</v>
      </c>
    </row>
    <row customHeight="1" ht="11.25">
      <c r="A314" s="379" t="s">
        <v>16</v>
      </c>
      <c r="B314" s="0" t="s">
        <v>4653</v>
      </c>
      <c r="C314" s="0" t="s">
        <v>4654</v>
      </c>
      <c r="D314" s="0" t="s">
        <v>4673</v>
      </c>
      <c r="E314" s="0" t="s">
        <v>4674</v>
      </c>
      <c r="F314" s="0" t="s">
        <v>3809</v>
      </c>
      <c r="G314" s="0" t="s">
        <v>4675</v>
      </c>
    </row>
    <row customHeight="1" ht="11.25">
      <c r="A315" s="379" t="s">
        <v>16</v>
      </c>
      <c r="B315" s="0" t="s">
        <v>4653</v>
      </c>
      <c r="C315" s="0" t="s">
        <v>4654</v>
      </c>
      <c r="D315" s="0" t="s">
        <v>4676</v>
      </c>
      <c r="E315" s="0" t="s">
        <v>4677</v>
      </c>
      <c r="F315" s="0" t="s">
        <v>3809</v>
      </c>
      <c r="G315" s="0" t="s">
        <v>4678</v>
      </c>
    </row>
    <row customHeight="1" ht="11.25">
      <c r="A316" s="379" t="s">
        <v>16</v>
      </c>
      <c r="B316" s="0" t="s">
        <v>4653</v>
      </c>
      <c r="C316" s="0" t="s">
        <v>4654</v>
      </c>
      <c r="D316" s="0" t="s">
        <v>4679</v>
      </c>
      <c r="E316" s="0" t="s">
        <v>4680</v>
      </c>
      <c r="F316" s="0" t="s">
        <v>3809</v>
      </c>
      <c r="G316" s="0" t="s">
        <v>4681</v>
      </c>
    </row>
    <row customHeight="1" ht="11.25">
      <c r="A317" s="379" t="s">
        <v>16</v>
      </c>
      <c r="B317" s="0" t="s">
        <v>4653</v>
      </c>
      <c r="C317" s="0" t="s">
        <v>4654</v>
      </c>
      <c r="D317" s="0" t="s">
        <v>4653</v>
      </c>
      <c r="E317" s="0" t="s">
        <v>4654</v>
      </c>
      <c r="F317" s="0" t="s">
        <v>3806</v>
      </c>
      <c r="G317" s="0" t="s">
        <v>4682</v>
      </c>
    </row>
    <row customHeight="1" ht="11.25">
      <c r="A318" s="379" t="s">
        <v>16</v>
      </c>
      <c r="B318" s="0" t="s">
        <v>4653</v>
      </c>
      <c r="C318" s="0" t="s">
        <v>4654</v>
      </c>
      <c r="D318" s="0" t="s">
        <v>4683</v>
      </c>
      <c r="E318" s="0" t="s">
        <v>4684</v>
      </c>
      <c r="F318" s="0" t="s">
        <v>3809</v>
      </c>
      <c r="G318" s="0" t="s">
        <v>4685</v>
      </c>
    </row>
    <row customHeight="1" ht="11.25">
      <c r="A319" s="379" t="s">
        <v>16</v>
      </c>
      <c r="B319" s="0" t="s">
        <v>4686</v>
      </c>
      <c r="C319" s="0" t="s">
        <v>4687</v>
      </c>
      <c r="D319" s="0" t="s">
        <v>4688</v>
      </c>
      <c r="E319" s="0" t="s">
        <v>4689</v>
      </c>
      <c r="F319" s="0" t="s">
        <v>3809</v>
      </c>
      <c r="G319" s="0" t="s">
        <v>4690</v>
      </c>
    </row>
    <row customHeight="1" ht="11.25">
      <c r="A320" s="379" t="s">
        <v>16</v>
      </c>
      <c r="B320" s="0" t="s">
        <v>4686</v>
      </c>
      <c r="C320" s="0" t="s">
        <v>4687</v>
      </c>
      <c r="D320" s="0" t="s">
        <v>3960</v>
      </c>
      <c r="E320" s="0" t="s">
        <v>4691</v>
      </c>
      <c r="F320" s="0" t="s">
        <v>3809</v>
      </c>
      <c r="G320" s="0" t="s">
        <v>4692</v>
      </c>
    </row>
    <row customHeight="1" ht="11.25">
      <c r="A321" s="379" t="s">
        <v>16</v>
      </c>
      <c r="B321" s="0" t="s">
        <v>4686</v>
      </c>
      <c r="C321" s="0" t="s">
        <v>4687</v>
      </c>
      <c r="D321" s="0" t="s">
        <v>4486</v>
      </c>
      <c r="E321" s="0" t="s">
        <v>4693</v>
      </c>
      <c r="F321" s="0" t="s">
        <v>3809</v>
      </c>
      <c r="G321" s="0" t="s">
        <v>4694</v>
      </c>
    </row>
    <row customHeight="1" ht="11.25">
      <c r="A322" s="379" t="s">
        <v>16</v>
      </c>
      <c r="B322" s="0" t="s">
        <v>4686</v>
      </c>
      <c r="C322" s="0" t="s">
        <v>4687</v>
      </c>
      <c r="D322" s="0" t="s">
        <v>4695</v>
      </c>
      <c r="E322" s="0" t="s">
        <v>4696</v>
      </c>
      <c r="F322" s="0" t="s">
        <v>3809</v>
      </c>
      <c r="G322" s="0" t="s">
        <v>4697</v>
      </c>
    </row>
    <row customHeight="1" ht="11.25">
      <c r="A323" s="379" t="s">
        <v>16</v>
      </c>
      <c r="B323" s="0" t="s">
        <v>4686</v>
      </c>
      <c r="C323" s="0" t="s">
        <v>4687</v>
      </c>
      <c r="D323" s="0" t="s">
        <v>4497</v>
      </c>
      <c r="E323" s="0" t="s">
        <v>4698</v>
      </c>
      <c r="F323" s="0" t="s">
        <v>3809</v>
      </c>
      <c r="G323" s="0" t="s">
        <v>4699</v>
      </c>
    </row>
    <row customHeight="1" ht="11.25">
      <c r="A324" s="379" t="s">
        <v>16</v>
      </c>
      <c r="B324" s="0" t="s">
        <v>4686</v>
      </c>
      <c r="C324" s="0" t="s">
        <v>4687</v>
      </c>
      <c r="D324" s="0" t="s">
        <v>4700</v>
      </c>
      <c r="E324" s="0" t="s">
        <v>4701</v>
      </c>
      <c r="F324" s="0" t="s">
        <v>3809</v>
      </c>
      <c r="G324" s="0" t="s">
        <v>4702</v>
      </c>
    </row>
    <row customHeight="1" ht="11.25">
      <c r="A325" s="379" t="s">
        <v>16</v>
      </c>
      <c r="B325" s="0" t="s">
        <v>4686</v>
      </c>
      <c r="C325" s="0" t="s">
        <v>4687</v>
      </c>
      <c r="D325" s="0" t="s">
        <v>4703</v>
      </c>
      <c r="E325" s="0" t="s">
        <v>4704</v>
      </c>
      <c r="F325" s="0" t="s">
        <v>3809</v>
      </c>
      <c r="G325" s="0" t="s">
        <v>4705</v>
      </c>
    </row>
    <row customHeight="1" ht="11.25">
      <c r="A326" s="379" t="s">
        <v>16</v>
      </c>
      <c r="B326" s="0" t="s">
        <v>4686</v>
      </c>
      <c r="C326" s="0" t="s">
        <v>4687</v>
      </c>
      <c r="D326" s="0" t="s">
        <v>4706</v>
      </c>
      <c r="E326" s="0" t="s">
        <v>4707</v>
      </c>
      <c r="F326" s="0" t="s">
        <v>3809</v>
      </c>
      <c r="G326" s="0" t="s">
        <v>4708</v>
      </c>
    </row>
    <row customHeight="1" ht="11.25">
      <c r="A327" s="379" t="s">
        <v>16</v>
      </c>
      <c r="B327" s="0" t="s">
        <v>4686</v>
      </c>
      <c r="C327" s="0" t="s">
        <v>4687</v>
      </c>
      <c r="D327" s="0" t="s">
        <v>4709</v>
      </c>
      <c r="E327" s="0" t="s">
        <v>4710</v>
      </c>
      <c r="F327" s="0" t="s">
        <v>3809</v>
      </c>
      <c r="G327" s="0" t="s">
        <v>4711</v>
      </c>
    </row>
    <row customHeight="1" ht="11.25">
      <c r="A328" s="379" t="s">
        <v>16</v>
      </c>
      <c r="B328" s="0" t="s">
        <v>4686</v>
      </c>
      <c r="C328" s="0" t="s">
        <v>4687</v>
      </c>
      <c r="D328" s="0" t="s">
        <v>4712</v>
      </c>
      <c r="E328" s="0" t="s">
        <v>4713</v>
      </c>
      <c r="F328" s="0" t="s">
        <v>3809</v>
      </c>
      <c r="G328" s="0" t="s">
        <v>4714</v>
      </c>
    </row>
    <row customHeight="1" ht="11.25">
      <c r="A329" s="379" t="s">
        <v>16</v>
      </c>
      <c r="B329" s="0" t="s">
        <v>4686</v>
      </c>
      <c r="C329" s="0" t="s">
        <v>4687</v>
      </c>
      <c r="D329" s="0" t="s">
        <v>4715</v>
      </c>
      <c r="E329" s="0" t="s">
        <v>4716</v>
      </c>
      <c r="F329" s="0" t="s">
        <v>3809</v>
      </c>
      <c r="G329" s="0" t="s">
        <v>4717</v>
      </c>
    </row>
    <row customHeight="1" ht="11.25">
      <c r="A330" s="379" t="s">
        <v>16</v>
      </c>
      <c r="B330" s="0" t="s">
        <v>4686</v>
      </c>
      <c r="C330" s="0" t="s">
        <v>4687</v>
      </c>
      <c r="D330" s="0" t="s">
        <v>4718</v>
      </c>
      <c r="E330" s="0" t="s">
        <v>4719</v>
      </c>
      <c r="F330" s="0" t="s">
        <v>3809</v>
      </c>
      <c r="G330" s="0" t="s">
        <v>4720</v>
      </c>
    </row>
    <row customHeight="1" ht="11.25">
      <c r="A331" s="379" t="s">
        <v>16</v>
      </c>
      <c r="B331" s="0" t="s">
        <v>4686</v>
      </c>
      <c r="C331" s="0" t="s">
        <v>4687</v>
      </c>
      <c r="D331" s="0" t="s">
        <v>4721</v>
      </c>
      <c r="E331" s="0" t="s">
        <v>4722</v>
      </c>
      <c r="F331" s="0" t="s">
        <v>3809</v>
      </c>
      <c r="G331" s="0" t="s">
        <v>4723</v>
      </c>
    </row>
    <row customHeight="1" ht="11.25">
      <c r="A332" s="379" t="s">
        <v>16</v>
      </c>
      <c r="B332" s="0" t="s">
        <v>4686</v>
      </c>
      <c r="C332" s="0" t="s">
        <v>4687</v>
      </c>
      <c r="D332" s="0" t="s">
        <v>4724</v>
      </c>
      <c r="E332" s="0" t="s">
        <v>4725</v>
      </c>
      <c r="F332" s="0" t="s">
        <v>3809</v>
      </c>
      <c r="G332" s="0" t="s">
        <v>4726</v>
      </c>
    </row>
    <row customHeight="1" ht="11.25">
      <c r="A333" s="379" t="s">
        <v>16</v>
      </c>
      <c r="B333" s="0" t="s">
        <v>4686</v>
      </c>
      <c r="C333" s="0" t="s">
        <v>4687</v>
      </c>
      <c r="D333" s="0" t="s">
        <v>4686</v>
      </c>
      <c r="E333" s="0" t="s">
        <v>4687</v>
      </c>
      <c r="F333" s="0" t="s">
        <v>3806</v>
      </c>
      <c r="G333" s="0" t="s">
        <v>4727</v>
      </c>
    </row>
    <row customHeight="1" ht="11.25">
      <c r="A334" s="379" t="s">
        <v>16</v>
      </c>
      <c r="B334" s="0" t="s">
        <v>4686</v>
      </c>
      <c r="C334" s="0" t="s">
        <v>4687</v>
      </c>
      <c r="D334" s="0" t="s">
        <v>4728</v>
      </c>
      <c r="E334" s="0" t="s">
        <v>4729</v>
      </c>
      <c r="F334" s="0" t="s">
        <v>3809</v>
      </c>
      <c r="G334" s="0" t="s">
        <v>4730</v>
      </c>
    </row>
    <row customHeight="1" ht="11.25">
      <c r="A335" s="379" t="s">
        <v>16</v>
      </c>
      <c r="B335" s="0" t="s">
        <v>4686</v>
      </c>
      <c r="C335" s="0" t="s">
        <v>4687</v>
      </c>
      <c r="D335" s="0" t="s">
        <v>4731</v>
      </c>
      <c r="E335" s="0" t="s">
        <v>4732</v>
      </c>
      <c r="F335" s="0" t="s">
        <v>3809</v>
      </c>
      <c r="G335" s="0" t="s">
        <v>4733</v>
      </c>
    </row>
    <row customHeight="1" ht="11.25">
      <c r="A336" s="379" t="s">
        <v>16</v>
      </c>
      <c r="B336" s="0" t="s">
        <v>4686</v>
      </c>
      <c r="C336" s="0" t="s">
        <v>4687</v>
      </c>
      <c r="D336" s="0" t="s">
        <v>4734</v>
      </c>
      <c r="E336" s="0" t="s">
        <v>4735</v>
      </c>
      <c r="F336" s="0" t="s">
        <v>3809</v>
      </c>
      <c r="G336" s="0" t="s">
        <v>4736</v>
      </c>
    </row>
    <row customHeight="1" ht="11.25">
      <c r="A337" s="379" t="s">
        <v>16</v>
      </c>
      <c r="B337" s="0" t="s">
        <v>4686</v>
      </c>
      <c r="C337" s="0" t="s">
        <v>4687</v>
      </c>
      <c r="D337" s="0" t="s">
        <v>4229</v>
      </c>
      <c r="E337" s="0" t="s">
        <v>4737</v>
      </c>
      <c r="F337" s="0" t="s">
        <v>3809</v>
      </c>
      <c r="G337" s="0" t="s">
        <v>4738</v>
      </c>
    </row>
    <row customHeight="1" ht="11.25">
      <c r="A338" s="379" t="s">
        <v>16</v>
      </c>
      <c r="B338" s="0" t="s">
        <v>4686</v>
      </c>
      <c r="C338" s="0" t="s">
        <v>4687</v>
      </c>
      <c r="D338" s="0" t="s">
        <v>4739</v>
      </c>
      <c r="E338" s="0" t="s">
        <v>4740</v>
      </c>
      <c r="F338" s="0" t="s">
        <v>3809</v>
      </c>
      <c r="G338" s="0" t="s">
        <v>4741</v>
      </c>
    </row>
    <row customHeight="1" ht="11.25">
      <c r="A339" s="379" t="s">
        <v>16</v>
      </c>
      <c r="B339" s="0" t="s">
        <v>4686</v>
      </c>
      <c r="C339" s="0" t="s">
        <v>4687</v>
      </c>
      <c r="D339" s="0" t="s">
        <v>4742</v>
      </c>
      <c r="E339" s="0" t="s">
        <v>4743</v>
      </c>
      <c r="F339" s="0" t="s">
        <v>3809</v>
      </c>
      <c r="G339" s="0" t="s">
        <v>4744</v>
      </c>
    </row>
    <row customHeight="1" ht="11.25">
      <c r="A340" s="379" t="s">
        <v>16</v>
      </c>
      <c r="B340" s="0" t="s">
        <v>4686</v>
      </c>
      <c r="C340" s="0" t="s">
        <v>4687</v>
      </c>
      <c r="D340" s="0" t="s">
        <v>4745</v>
      </c>
      <c r="E340" s="0" t="s">
        <v>4746</v>
      </c>
      <c r="F340" s="0" t="s">
        <v>3809</v>
      </c>
      <c r="G340" s="0" t="s">
        <v>4747</v>
      </c>
    </row>
    <row customHeight="1" ht="11.25">
      <c r="A341" s="379" t="s">
        <v>16</v>
      </c>
      <c r="B341" s="0" t="s">
        <v>4686</v>
      </c>
      <c r="C341" s="0" t="s">
        <v>4687</v>
      </c>
      <c r="D341" s="0" t="s">
        <v>4748</v>
      </c>
      <c r="E341" s="0" t="s">
        <v>4749</v>
      </c>
      <c r="F341" s="0" t="s">
        <v>3809</v>
      </c>
      <c r="G341" s="0" t="s">
        <v>4750</v>
      </c>
    </row>
    <row customHeight="1" ht="11.25">
      <c r="A342" s="379" t="s">
        <v>16</v>
      </c>
      <c r="B342" s="0" t="s">
        <v>4686</v>
      </c>
      <c r="C342" s="0" t="s">
        <v>4687</v>
      </c>
      <c r="D342" s="0" t="s">
        <v>4751</v>
      </c>
      <c r="E342" s="0" t="s">
        <v>4752</v>
      </c>
      <c r="F342" s="0" t="s">
        <v>3809</v>
      </c>
      <c r="G342" s="0" t="s">
        <v>4753</v>
      </c>
    </row>
    <row customHeight="1" ht="11.25">
      <c r="A343" s="379" t="s">
        <v>16</v>
      </c>
      <c r="B343" s="0" t="s">
        <v>4686</v>
      </c>
      <c r="C343" s="0" t="s">
        <v>4687</v>
      </c>
      <c r="D343" s="0" t="s">
        <v>3955</v>
      </c>
      <c r="E343" s="0" t="s">
        <v>4754</v>
      </c>
      <c r="F343" s="0" t="s">
        <v>3809</v>
      </c>
      <c r="G343" s="0" t="s">
        <v>4755</v>
      </c>
    </row>
    <row customHeight="1" ht="11.25">
      <c r="A344" s="379" t="s">
        <v>16</v>
      </c>
      <c r="B344" s="0" t="s">
        <v>4686</v>
      </c>
      <c r="C344" s="0" t="s">
        <v>4687</v>
      </c>
      <c r="D344" s="0" t="s">
        <v>4756</v>
      </c>
      <c r="E344" s="0" t="s">
        <v>4757</v>
      </c>
      <c r="F344" s="0" t="s">
        <v>3809</v>
      </c>
      <c r="G344" s="0" t="s">
        <v>4758</v>
      </c>
    </row>
    <row customHeight="1" ht="11.25">
      <c r="A345" s="379" t="s">
        <v>16</v>
      </c>
      <c r="B345" s="0" t="s">
        <v>4686</v>
      </c>
      <c r="C345" s="0" t="s">
        <v>4687</v>
      </c>
      <c r="D345" s="0" t="s">
        <v>4759</v>
      </c>
      <c r="E345" s="0" t="s">
        <v>4760</v>
      </c>
      <c r="F345" s="0" t="s">
        <v>3809</v>
      </c>
      <c r="G345" s="0" t="s">
        <v>4761</v>
      </c>
    </row>
    <row customHeight="1" ht="11.25">
      <c r="A346" s="379" t="s">
        <v>16</v>
      </c>
      <c r="B346" s="0" t="s">
        <v>4762</v>
      </c>
      <c r="C346" s="0" t="s">
        <v>4763</v>
      </c>
      <c r="D346" s="0" t="s">
        <v>4764</v>
      </c>
      <c r="E346" s="0" t="s">
        <v>4765</v>
      </c>
      <c r="F346" s="0" t="s">
        <v>3809</v>
      </c>
      <c r="G346" s="0" t="s">
        <v>4766</v>
      </c>
    </row>
    <row customHeight="1" ht="11.25">
      <c r="A347" s="379" t="s">
        <v>16</v>
      </c>
      <c r="B347" s="0" t="s">
        <v>4762</v>
      </c>
      <c r="C347" s="0" t="s">
        <v>4763</v>
      </c>
      <c r="D347" s="0" t="s">
        <v>3861</v>
      </c>
      <c r="E347" s="0" t="s">
        <v>4767</v>
      </c>
      <c r="F347" s="0" t="s">
        <v>3809</v>
      </c>
      <c r="G347" s="0" t="s">
        <v>4768</v>
      </c>
    </row>
    <row customHeight="1" ht="11.25">
      <c r="A348" s="379" t="s">
        <v>16</v>
      </c>
      <c r="B348" s="0" t="s">
        <v>4762</v>
      </c>
      <c r="C348" s="0" t="s">
        <v>4763</v>
      </c>
      <c r="D348" s="0" t="s">
        <v>4769</v>
      </c>
      <c r="E348" s="0" t="s">
        <v>4770</v>
      </c>
      <c r="F348" s="0" t="s">
        <v>3809</v>
      </c>
      <c r="G348" s="0" t="s">
        <v>4771</v>
      </c>
    </row>
    <row customHeight="1" ht="11.25">
      <c r="A349" s="379" t="s">
        <v>16</v>
      </c>
      <c r="B349" s="0" t="s">
        <v>4762</v>
      </c>
      <c r="C349" s="0" t="s">
        <v>4763</v>
      </c>
      <c r="D349" s="0" t="s">
        <v>4772</v>
      </c>
      <c r="E349" s="0" t="s">
        <v>4773</v>
      </c>
      <c r="F349" s="0" t="s">
        <v>3809</v>
      </c>
      <c r="G349" s="0" t="s">
        <v>4774</v>
      </c>
    </row>
    <row customHeight="1" ht="11.25">
      <c r="A350" s="379" t="s">
        <v>16</v>
      </c>
      <c r="B350" s="0" t="s">
        <v>4762</v>
      </c>
      <c r="C350" s="0" t="s">
        <v>4763</v>
      </c>
      <c r="D350" s="0" t="s">
        <v>4775</v>
      </c>
      <c r="E350" s="0" t="s">
        <v>4776</v>
      </c>
      <c r="F350" s="0" t="s">
        <v>3809</v>
      </c>
      <c r="G350" s="0" t="s">
        <v>4777</v>
      </c>
    </row>
    <row customHeight="1" ht="11.25">
      <c r="A351" s="379" t="s">
        <v>16</v>
      </c>
      <c r="B351" s="0" t="s">
        <v>4762</v>
      </c>
      <c r="C351" s="0" t="s">
        <v>4763</v>
      </c>
      <c r="D351" s="0" t="s">
        <v>4778</v>
      </c>
      <c r="E351" s="0" t="s">
        <v>4779</v>
      </c>
      <c r="F351" s="0" t="s">
        <v>3809</v>
      </c>
      <c r="G351" s="0" t="s">
        <v>4780</v>
      </c>
    </row>
    <row customHeight="1" ht="11.25">
      <c r="A352" s="379" t="s">
        <v>16</v>
      </c>
      <c r="B352" s="0" t="s">
        <v>4762</v>
      </c>
      <c r="C352" s="0" t="s">
        <v>4763</v>
      </c>
      <c r="D352" s="0" t="s">
        <v>4781</v>
      </c>
      <c r="E352" s="0" t="s">
        <v>4782</v>
      </c>
      <c r="F352" s="0" t="s">
        <v>3809</v>
      </c>
      <c r="G352" s="0" t="s">
        <v>4783</v>
      </c>
    </row>
    <row customHeight="1" ht="11.25">
      <c r="A353" s="379" t="s">
        <v>16</v>
      </c>
      <c r="B353" s="0" t="s">
        <v>4762</v>
      </c>
      <c r="C353" s="0" t="s">
        <v>4763</v>
      </c>
      <c r="D353" s="0" t="s">
        <v>4123</v>
      </c>
      <c r="E353" s="0" t="s">
        <v>4784</v>
      </c>
      <c r="F353" s="0" t="s">
        <v>3809</v>
      </c>
      <c r="G353" s="0" t="s">
        <v>4785</v>
      </c>
    </row>
    <row customHeight="1" ht="11.25">
      <c r="A354" s="379" t="s">
        <v>16</v>
      </c>
      <c r="B354" s="0" t="s">
        <v>4762</v>
      </c>
      <c r="C354" s="0" t="s">
        <v>4763</v>
      </c>
      <c r="D354" s="0" t="s">
        <v>4786</v>
      </c>
      <c r="E354" s="0" t="s">
        <v>4787</v>
      </c>
      <c r="F354" s="0" t="s">
        <v>3809</v>
      </c>
      <c r="G354" s="0" t="s">
        <v>4788</v>
      </c>
    </row>
    <row customHeight="1" ht="11.25">
      <c r="A355" s="379" t="s">
        <v>16</v>
      </c>
      <c r="B355" s="0" t="s">
        <v>4762</v>
      </c>
      <c r="C355" s="0" t="s">
        <v>4763</v>
      </c>
      <c r="D355" s="0" t="s">
        <v>4762</v>
      </c>
      <c r="E355" s="0" t="s">
        <v>4763</v>
      </c>
      <c r="F355" s="0" t="s">
        <v>3806</v>
      </c>
      <c r="G355" s="0" t="s">
        <v>4789</v>
      </c>
    </row>
    <row customHeight="1" ht="11.25">
      <c r="A356" s="379" t="s">
        <v>16</v>
      </c>
      <c r="B356" s="0" t="s">
        <v>4762</v>
      </c>
      <c r="C356" s="0" t="s">
        <v>4763</v>
      </c>
      <c r="D356" s="0" t="s">
        <v>4790</v>
      </c>
      <c r="E356" s="0" t="s">
        <v>4791</v>
      </c>
      <c r="F356" s="0" t="s">
        <v>3809</v>
      </c>
      <c r="G356" s="0" t="s">
        <v>4792</v>
      </c>
    </row>
    <row customHeight="1" ht="11.25">
      <c r="A357" s="379" t="s">
        <v>16</v>
      </c>
      <c r="B357" s="0" t="s">
        <v>4762</v>
      </c>
      <c r="C357" s="0" t="s">
        <v>4763</v>
      </c>
      <c r="D357" s="0" t="s">
        <v>4793</v>
      </c>
      <c r="E357" s="0" t="s">
        <v>4794</v>
      </c>
      <c r="F357" s="0" t="s">
        <v>3809</v>
      </c>
      <c r="G357" s="0" t="s">
        <v>4795</v>
      </c>
    </row>
    <row customHeight="1" ht="11.25">
      <c r="A358" s="379" t="s">
        <v>16</v>
      </c>
      <c r="B358" s="0" t="s">
        <v>4762</v>
      </c>
      <c r="C358" s="0" t="s">
        <v>4763</v>
      </c>
      <c r="D358" s="0" t="s">
        <v>4796</v>
      </c>
      <c r="E358" s="0" t="s">
        <v>4797</v>
      </c>
      <c r="F358" s="0" t="s">
        <v>3809</v>
      </c>
      <c r="G358" s="0" t="s">
        <v>4798</v>
      </c>
    </row>
    <row customHeight="1" ht="11.25">
      <c r="A359" s="379" t="s">
        <v>16</v>
      </c>
      <c r="B359" s="0" t="s">
        <v>4762</v>
      </c>
      <c r="C359" s="0" t="s">
        <v>4763</v>
      </c>
      <c r="D359" s="0" t="s">
        <v>4799</v>
      </c>
      <c r="E359" s="0" t="s">
        <v>4800</v>
      </c>
      <c r="F359" s="0" t="s">
        <v>3809</v>
      </c>
      <c r="G359" s="0" t="s">
        <v>4801</v>
      </c>
    </row>
    <row customHeight="1" ht="11.25">
      <c r="A360" s="379" t="s">
        <v>16</v>
      </c>
      <c r="B360" s="0" t="s">
        <v>4762</v>
      </c>
      <c r="C360" s="0" t="s">
        <v>4763</v>
      </c>
      <c r="D360" s="0" t="s">
        <v>4802</v>
      </c>
      <c r="E360" s="0" t="s">
        <v>4803</v>
      </c>
      <c r="F360" s="0" t="s">
        <v>3809</v>
      </c>
      <c r="G360" s="0" t="s">
        <v>4804</v>
      </c>
    </row>
    <row customHeight="1" ht="11.25">
      <c r="A361" s="379" t="s">
        <v>16</v>
      </c>
      <c r="B361" s="0" t="s">
        <v>4805</v>
      </c>
      <c r="C361" s="0" t="s">
        <v>4806</v>
      </c>
      <c r="D361" s="0" t="s">
        <v>4807</v>
      </c>
      <c r="E361" s="0" t="s">
        <v>4808</v>
      </c>
      <c r="F361" s="0" t="s">
        <v>3809</v>
      </c>
      <c r="G361" s="0" t="s">
        <v>4809</v>
      </c>
    </row>
    <row customHeight="1" ht="11.25">
      <c r="A362" s="379" t="s">
        <v>16</v>
      </c>
      <c r="B362" s="0" t="s">
        <v>4805</v>
      </c>
      <c r="C362" s="0" t="s">
        <v>4806</v>
      </c>
      <c r="D362" s="0" t="s">
        <v>4810</v>
      </c>
      <c r="E362" s="0" t="s">
        <v>4811</v>
      </c>
      <c r="F362" s="0" t="s">
        <v>3809</v>
      </c>
      <c r="G362" s="0" t="s">
        <v>4812</v>
      </c>
    </row>
    <row customHeight="1" ht="11.25">
      <c r="A363" s="379" t="s">
        <v>16</v>
      </c>
      <c r="B363" s="0" t="s">
        <v>4805</v>
      </c>
      <c r="C363" s="0" t="s">
        <v>4806</v>
      </c>
      <c r="D363" s="0" t="s">
        <v>4813</v>
      </c>
      <c r="E363" s="0" t="s">
        <v>4814</v>
      </c>
      <c r="F363" s="0" t="s">
        <v>3809</v>
      </c>
      <c r="G363" s="0" t="s">
        <v>4815</v>
      </c>
    </row>
    <row customHeight="1" ht="11.25">
      <c r="A364" s="379" t="s">
        <v>16</v>
      </c>
      <c r="B364" s="0" t="s">
        <v>4805</v>
      </c>
      <c r="C364" s="0" t="s">
        <v>4806</v>
      </c>
      <c r="D364" s="0" t="s">
        <v>4816</v>
      </c>
      <c r="E364" s="0" t="s">
        <v>4817</v>
      </c>
      <c r="F364" s="0" t="s">
        <v>3816</v>
      </c>
      <c r="G364" s="0" t="s">
        <v>4818</v>
      </c>
    </row>
    <row customHeight="1" ht="11.25">
      <c r="A365" s="379" t="s">
        <v>16</v>
      </c>
      <c r="B365" s="0" t="s">
        <v>4805</v>
      </c>
      <c r="C365" s="0" t="s">
        <v>4806</v>
      </c>
      <c r="D365" s="0" t="s">
        <v>4819</v>
      </c>
      <c r="E365" s="0" t="s">
        <v>4820</v>
      </c>
      <c r="F365" s="0" t="s">
        <v>3816</v>
      </c>
      <c r="G365" s="0" t="s">
        <v>4821</v>
      </c>
    </row>
    <row customHeight="1" ht="11.25">
      <c r="A366" s="379" t="s">
        <v>16</v>
      </c>
      <c r="B366" s="0" t="s">
        <v>4805</v>
      </c>
      <c r="C366" s="0" t="s">
        <v>4806</v>
      </c>
      <c r="D366" s="0" t="s">
        <v>4822</v>
      </c>
      <c r="E366" s="0" t="s">
        <v>4823</v>
      </c>
      <c r="F366" s="0" t="s">
        <v>3809</v>
      </c>
      <c r="G366" s="0" t="s">
        <v>4824</v>
      </c>
    </row>
    <row customHeight="1" ht="11.25">
      <c r="A367" s="379" t="s">
        <v>16</v>
      </c>
      <c r="B367" s="0" t="s">
        <v>4805</v>
      </c>
      <c r="C367" s="0" t="s">
        <v>4806</v>
      </c>
      <c r="D367" s="0" t="s">
        <v>4825</v>
      </c>
      <c r="E367" s="0" t="s">
        <v>4826</v>
      </c>
      <c r="F367" s="0" t="s">
        <v>3809</v>
      </c>
      <c r="G367" s="0" t="s">
        <v>4827</v>
      </c>
    </row>
    <row customHeight="1" ht="11.25">
      <c r="A368" s="379" t="s">
        <v>16</v>
      </c>
      <c r="B368" s="0" t="s">
        <v>4805</v>
      </c>
      <c r="C368" s="0" t="s">
        <v>4806</v>
      </c>
      <c r="D368" s="0" t="s">
        <v>4805</v>
      </c>
      <c r="E368" s="0" t="s">
        <v>4806</v>
      </c>
      <c r="F368" s="0" t="s">
        <v>3806</v>
      </c>
      <c r="G368" s="0" t="s">
        <v>4828</v>
      </c>
    </row>
    <row customHeight="1" ht="11.25">
      <c r="A369" s="379" t="s">
        <v>16</v>
      </c>
      <c r="B369" s="0" t="s">
        <v>4805</v>
      </c>
      <c r="C369" s="0" t="s">
        <v>4806</v>
      </c>
      <c r="D369" s="0" t="s">
        <v>4829</v>
      </c>
      <c r="E369" s="0" t="s">
        <v>4830</v>
      </c>
      <c r="F369" s="0" t="s">
        <v>3809</v>
      </c>
      <c r="G369" s="0" t="s">
        <v>4831</v>
      </c>
    </row>
    <row customHeight="1" ht="11.25">
      <c r="A370" s="379" t="s">
        <v>16</v>
      </c>
      <c r="B370" s="0" t="s">
        <v>4805</v>
      </c>
      <c r="C370" s="0" t="s">
        <v>4806</v>
      </c>
      <c r="D370" s="0" t="s">
        <v>4832</v>
      </c>
      <c r="E370" s="0" t="s">
        <v>4833</v>
      </c>
      <c r="F370" s="0" t="s">
        <v>3809</v>
      </c>
      <c r="G370" s="0" t="s">
        <v>4834</v>
      </c>
    </row>
    <row customHeight="1" ht="11.25">
      <c r="A371" s="379" t="s">
        <v>16</v>
      </c>
      <c r="B371" s="0" t="s">
        <v>4835</v>
      </c>
      <c r="C371" s="0" t="s">
        <v>4836</v>
      </c>
      <c r="D371" s="0" t="s">
        <v>4837</v>
      </c>
      <c r="E371" s="0" t="s">
        <v>4838</v>
      </c>
      <c r="F371" s="0" t="s">
        <v>3809</v>
      </c>
      <c r="G371" s="0" t="s">
        <v>4839</v>
      </c>
    </row>
    <row customHeight="1" ht="11.25">
      <c r="A372" s="379" t="s">
        <v>16</v>
      </c>
      <c r="B372" s="0" t="s">
        <v>4835</v>
      </c>
      <c r="C372" s="0" t="s">
        <v>4836</v>
      </c>
      <c r="D372" s="0" t="s">
        <v>4840</v>
      </c>
      <c r="E372" s="0" t="s">
        <v>4841</v>
      </c>
      <c r="F372" s="0" t="s">
        <v>3809</v>
      </c>
      <c r="G372" s="0" t="s">
        <v>4842</v>
      </c>
    </row>
    <row customHeight="1" ht="11.25">
      <c r="A373" s="379" t="s">
        <v>16</v>
      </c>
      <c r="B373" s="0" t="s">
        <v>4835</v>
      </c>
      <c r="C373" s="0" t="s">
        <v>4836</v>
      </c>
      <c r="D373" s="0" t="s">
        <v>4807</v>
      </c>
      <c r="E373" s="0" t="s">
        <v>4843</v>
      </c>
      <c r="F373" s="0" t="s">
        <v>3809</v>
      </c>
      <c r="G373" s="0" t="s">
        <v>4844</v>
      </c>
    </row>
    <row customHeight="1" ht="11.25">
      <c r="A374" s="379" t="s">
        <v>16</v>
      </c>
      <c r="B374" s="0" t="s">
        <v>4835</v>
      </c>
      <c r="C374" s="0" t="s">
        <v>4836</v>
      </c>
      <c r="D374" s="0" t="s">
        <v>4845</v>
      </c>
      <c r="E374" s="0" t="s">
        <v>4846</v>
      </c>
      <c r="F374" s="0" t="s">
        <v>3809</v>
      </c>
      <c r="G374" s="0" t="s">
        <v>4847</v>
      </c>
    </row>
    <row customHeight="1" ht="11.25">
      <c r="A375" s="379" t="s">
        <v>16</v>
      </c>
      <c r="B375" s="0" t="s">
        <v>4835</v>
      </c>
      <c r="C375" s="0" t="s">
        <v>4836</v>
      </c>
      <c r="D375" s="0" t="s">
        <v>3891</v>
      </c>
      <c r="E375" s="0" t="s">
        <v>4848</v>
      </c>
      <c r="F375" s="0" t="s">
        <v>3809</v>
      </c>
      <c r="G375" s="0" t="s">
        <v>4849</v>
      </c>
    </row>
    <row customHeight="1" ht="11.25">
      <c r="A376" s="379" t="s">
        <v>16</v>
      </c>
      <c r="B376" s="0" t="s">
        <v>4835</v>
      </c>
      <c r="C376" s="0" t="s">
        <v>4836</v>
      </c>
      <c r="D376" s="0" t="s">
        <v>4850</v>
      </c>
      <c r="E376" s="0" t="s">
        <v>4851</v>
      </c>
      <c r="F376" s="0" t="s">
        <v>3809</v>
      </c>
      <c r="G376" s="0" t="s">
        <v>4852</v>
      </c>
    </row>
    <row customHeight="1" ht="11.25">
      <c r="A377" s="379" t="s">
        <v>16</v>
      </c>
      <c r="B377" s="0" t="s">
        <v>4835</v>
      </c>
      <c r="C377" s="0" t="s">
        <v>4836</v>
      </c>
      <c r="D377" s="0" t="s">
        <v>4853</v>
      </c>
      <c r="E377" s="0" t="s">
        <v>4854</v>
      </c>
      <c r="F377" s="0" t="s">
        <v>3809</v>
      </c>
      <c r="G377" s="0" t="s">
        <v>4855</v>
      </c>
    </row>
    <row customHeight="1" ht="11.25">
      <c r="A378" s="379" t="s">
        <v>16</v>
      </c>
      <c r="B378" s="0" t="s">
        <v>4835</v>
      </c>
      <c r="C378" s="0" t="s">
        <v>4836</v>
      </c>
      <c r="D378" s="0" t="s">
        <v>4856</v>
      </c>
      <c r="E378" s="0" t="s">
        <v>4857</v>
      </c>
      <c r="F378" s="0" t="s">
        <v>3809</v>
      </c>
      <c r="G378" s="0" t="s">
        <v>4858</v>
      </c>
    </row>
    <row customHeight="1" ht="11.25">
      <c r="A379" s="379" t="s">
        <v>16</v>
      </c>
      <c r="B379" s="0" t="s">
        <v>4835</v>
      </c>
      <c r="C379" s="0" t="s">
        <v>4836</v>
      </c>
      <c r="D379" s="0" t="s">
        <v>4859</v>
      </c>
      <c r="E379" s="0" t="s">
        <v>4860</v>
      </c>
      <c r="F379" s="0" t="s">
        <v>3809</v>
      </c>
      <c r="G379" s="0" t="s">
        <v>4861</v>
      </c>
    </row>
    <row customHeight="1" ht="11.25">
      <c r="A380" s="379" t="s">
        <v>16</v>
      </c>
      <c r="B380" s="0" t="s">
        <v>4835</v>
      </c>
      <c r="C380" s="0" t="s">
        <v>4836</v>
      </c>
      <c r="D380" s="0" t="s">
        <v>4862</v>
      </c>
      <c r="E380" s="0" t="s">
        <v>4863</v>
      </c>
      <c r="F380" s="0" t="s">
        <v>3809</v>
      </c>
      <c r="G380" s="0" t="s">
        <v>4864</v>
      </c>
    </row>
    <row customHeight="1" ht="11.25">
      <c r="A381" s="379" t="s">
        <v>16</v>
      </c>
      <c r="B381" s="0" t="s">
        <v>4835</v>
      </c>
      <c r="C381" s="0" t="s">
        <v>4836</v>
      </c>
      <c r="D381" s="0" t="s">
        <v>4865</v>
      </c>
      <c r="E381" s="0" t="s">
        <v>4866</v>
      </c>
      <c r="F381" s="0" t="s">
        <v>3809</v>
      </c>
      <c r="G381" s="0" t="s">
        <v>4867</v>
      </c>
    </row>
    <row customHeight="1" ht="11.25">
      <c r="A382" s="379" t="s">
        <v>16</v>
      </c>
      <c r="B382" s="0" t="s">
        <v>4835</v>
      </c>
      <c r="C382" s="0" t="s">
        <v>4836</v>
      </c>
      <c r="D382" s="0" t="s">
        <v>4868</v>
      </c>
      <c r="E382" s="0" t="s">
        <v>4869</v>
      </c>
      <c r="F382" s="0" t="s">
        <v>3809</v>
      </c>
      <c r="G382" s="0" t="s">
        <v>4870</v>
      </c>
    </row>
    <row customHeight="1" ht="11.25">
      <c r="A383" s="379" t="s">
        <v>16</v>
      </c>
      <c r="B383" s="0" t="s">
        <v>4835</v>
      </c>
      <c r="C383" s="0" t="s">
        <v>4836</v>
      </c>
      <c r="D383" s="0" t="s">
        <v>4871</v>
      </c>
      <c r="E383" s="0" t="s">
        <v>4872</v>
      </c>
      <c r="F383" s="0" t="s">
        <v>3809</v>
      </c>
      <c r="G383" s="0" t="s">
        <v>4873</v>
      </c>
    </row>
    <row customHeight="1" ht="11.25">
      <c r="A384" s="379" t="s">
        <v>16</v>
      </c>
      <c r="B384" s="0" t="s">
        <v>4835</v>
      </c>
      <c r="C384" s="0" t="s">
        <v>4836</v>
      </c>
      <c r="D384" s="0" t="s">
        <v>4874</v>
      </c>
      <c r="E384" s="0" t="s">
        <v>4875</v>
      </c>
      <c r="F384" s="0" t="s">
        <v>3809</v>
      </c>
      <c r="G384" s="0" t="s">
        <v>4876</v>
      </c>
    </row>
    <row customHeight="1" ht="11.25">
      <c r="A385" s="379" t="s">
        <v>16</v>
      </c>
      <c r="B385" s="0" t="s">
        <v>4835</v>
      </c>
      <c r="C385" s="0" t="s">
        <v>4836</v>
      </c>
      <c r="D385" s="0" t="s">
        <v>4877</v>
      </c>
      <c r="E385" s="0" t="s">
        <v>4878</v>
      </c>
      <c r="F385" s="0" t="s">
        <v>3809</v>
      </c>
      <c r="G385" s="0" t="s">
        <v>4879</v>
      </c>
    </row>
    <row customHeight="1" ht="11.25">
      <c r="A386" s="379" t="s">
        <v>16</v>
      </c>
      <c r="B386" s="0" t="s">
        <v>4835</v>
      </c>
      <c r="C386" s="0" t="s">
        <v>4836</v>
      </c>
      <c r="D386" s="0" t="s">
        <v>4880</v>
      </c>
      <c r="E386" s="0" t="s">
        <v>4881</v>
      </c>
      <c r="F386" s="0" t="s">
        <v>3809</v>
      </c>
      <c r="G386" s="0" t="s">
        <v>4882</v>
      </c>
    </row>
    <row customHeight="1" ht="11.25">
      <c r="A387" s="379" t="s">
        <v>16</v>
      </c>
      <c r="B387" s="0" t="s">
        <v>4835</v>
      </c>
      <c r="C387" s="0" t="s">
        <v>4836</v>
      </c>
      <c r="D387" s="0" t="s">
        <v>4883</v>
      </c>
      <c r="E387" s="0" t="s">
        <v>4884</v>
      </c>
      <c r="F387" s="0" t="s">
        <v>3809</v>
      </c>
      <c r="G387" s="0" t="s">
        <v>4885</v>
      </c>
    </row>
    <row customHeight="1" ht="11.25">
      <c r="A388" s="379" t="s">
        <v>16</v>
      </c>
      <c r="B388" s="0" t="s">
        <v>4835</v>
      </c>
      <c r="C388" s="0" t="s">
        <v>4836</v>
      </c>
      <c r="D388" s="0" t="s">
        <v>4886</v>
      </c>
      <c r="E388" s="0" t="s">
        <v>4887</v>
      </c>
      <c r="F388" s="0" t="s">
        <v>3809</v>
      </c>
      <c r="G388" s="0" t="s">
        <v>4888</v>
      </c>
    </row>
    <row customHeight="1" ht="11.25">
      <c r="A389" s="379" t="s">
        <v>16</v>
      </c>
      <c r="B389" s="0" t="s">
        <v>4835</v>
      </c>
      <c r="C389" s="0" t="s">
        <v>4836</v>
      </c>
      <c r="D389" s="0" t="s">
        <v>4835</v>
      </c>
      <c r="E389" s="0" t="s">
        <v>4836</v>
      </c>
      <c r="F389" s="0" t="s">
        <v>3806</v>
      </c>
      <c r="G389" s="0" t="s">
        <v>4889</v>
      </c>
    </row>
    <row customHeight="1" ht="11.25">
      <c r="A390" s="379" t="s">
        <v>16</v>
      </c>
      <c r="B390" s="0" t="s">
        <v>4835</v>
      </c>
      <c r="C390" s="0" t="s">
        <v>4836</v>
      </c>
      <c r="D390" s="0" t="s">
        <v>4890</v>
      </c>
      <c r="E390" s="0" t="s">
        <v>4891</v>
      </c>
      <c r="F390" s="0" t="s">
        <v>3809</v>
      </c>
      <c r="G390" s="0" t="s">
        <v>4892</v>
      </c>
    </row>
    <row customHeight="1" ht="11.25">
      <c r="A391" s="379" t="s">
        <v>16</v>
      </c>
      <c r="B391" s="0" t="s">
        <v>4835</v>
      </c>
      <c r="C391" s="0" t="s">
        <v>4836</v>
      </c>
      <c r="D391" s="0" t="s">
        <v>3955</v>
      </c>
      <c r="E391" s="0" t="s">
        <v>4893</v>
      </c>
      <c r="F391" s="0" t="s">
        <v>3809</v>
      </c>
      <c r="G391" s="0" t="s">
        <v>4894</v>
      </c>
    </row>
    <row customHeight="1" ht="11.25">
      <c r="A392" s="379" t="s">
        <v>16</v>
      </c>
      <c r="B392" s="0" t="s">
        <v>4835</v>
      </c>
      <c r="C392" s="0" t="s">
        <v>4836</v>
      </c>
      <c r="D392" s="0" t="s">
        <v>4895</v>
      </c>
      <c r="E392" s="0" t="s">
        <v>4896</v>
      </c>
      <c r="F392" s="0" t="s">
        <v>3809</v>
      </c>
      <c r="G392" s="0" t="s">
        <v>4897</v>
      </c>
    </row>
    <row customHeight="1" ht="11.25">
      <c r="A393" s="379" t="s">
        <v>16</v>
      </c>
      <c r="B393" s="0" t="s">
        <v>4898</v>
      </c>
      <c r="C393" s="0" t="s">
        <v>4899</v>
      </c>
      <c r="D393" s="0" t="s">
        <v>4900</v>
      </c>
      <c r="E393" s="0" t="s">
        <v>4901</v>
      </c>
      <c r="F393" s="0" t="s">
        <v>3809</v>
      </c>
      <c r="G393" s="0" t="s">
        <v>4902</v>
      </c>
    </row>
    <row customHeight="1" ht="11.25">
      <c r="A394" s="379" t="s">
        <v>16</v>
      </c>
      <c r="B394" s="0" t="s">
        <v>4898</v>
      </c>
      <c r="C394" s="0" t="s">
        <v>4899</v>
      </c>
      <c r="D394" s="0" t="s">
        <v>4903</v>
      </c>
      <c r="E394" s="0" t="s">
        <v>4904</v>
      </c>
      <c r="F394" s="0" t="s">
        <v>3846</v>
      </c>
      <c r="G394" s="0" t="s">
        <v>4905</v>
      </c>
    </row>
    <row customHeight="1" ht="11.25">
      <c r="A395" s="379" t="s">
        <v>16</v>
      </c>
      <c r="B395" s="0" t="s">
        <v>4898</v>
      </c>
      <c r="C395" s="0" t="s">
        <v>4899</v>
      </c>
      <c r="D395" s="0" t="s">
        <v>4906</v>
      </c>
      <c r="E395" s="0" t="s">
        <v>4907</v>
      </c>
      <c r="F395" s="0" t="s">
        <v>3809</v>
      </c>
      <c r="G395" s="0" t="s">
        <v>4908</v>
      </c>
    </row>
    <row customHeight="1" ht="11.25">
      <c r="A396" s="379" t="s">
        <v>16</v>
      </c>
      <c r="B396" s="0" t="s">
        <v>4898</v>
      </c>
      <c r="C396" s="0" t="s">
        <v>4899</v>
      </c>
      <c r="D396" s="0" t="s">
        <v>4909</v>
      </c>
      <c r="E396" s="0" t="s">
        <v>4910</v>
      </c>
      <c r="F396" s="0" t="s">
        <v>3816</v>
      </c>
      <c r="G396" s="0" t="s">
        <v>4911</v>
      </c>
    </row>
    <row customHeight="1" ht="11.25">
      <c r="A397" s="379" t="s">
        <v>16</v>
      </c>
      <c r="B397" s="0" t="s">
        <v>4898</v>
      </c>
      <c r="C397" s="0" t="s">
        <v>4899</v>
      </c>
      <c r="D397" s="0" t="s">
        <v>4912</v>
      </c>
      <c r="E397" s="0" t="s">
        <v>4913</v>
      </c>
      <c r="F397" s="0" t="s">
        <v>3816</v>
      </c>
      <c r="G397" s="0" t="s">
        <v>4914</v>
      </c>
    </row>
    <row customHeight="1" ht="11.25">
      <c r="A398" s="379" t="s">
        <v>16</v>
      </c>
      <c r="B398" s="0" t="s">
        <v>4898</v>
      </c>
      <c r="C398" s="0" t="s">
        <v>4899</v>
      </c>
      <c r="D398" s="0" t="s">
        <v>4915</v>
      </c>
      <c r="E398" s="0" t="s">
        <v>4916</v>
      </c>
      <c r="F398" s="0" t="s">
        <v>3816</v>
      </c>
      <c r="G398" s="0" t="s">
        <v>4917</v>
      </c>
    </row>
    <row customHeight="1" ht="11.25">
      <c r="A399" s="379" t="s">
        <v>16</v>
      </c>
      <c r="B399" s="0" t="s">
        <v>4898</v>
      </c>
      <c r="C399" s="0" t="s">
        <v>4899</v>
      </c>
      <c r="D399" s="0" t="s">
        <v>4918</v>
      </c>
      <c r="E399" s="0" t="s">
        <v>4919</v>
      </c>
      <c r="F399" s="0" t="s">
        <v>3816</v>
      </c>
      <c r="G399" s="0" t="s">
        <v>4920</v>
      </c>
    </row>
    <row customHeight="1" ht="11.25">
      <c r="A400" s="379" t="s">
        <v>16</v>
      </c>
      <c r="B400" s="0" t="s">
        <v>4898</v>
      </c>
      <c r="C400" s="0" t="s">
        <v>4899</v>
      </c>
      <c r="D400" s="0" t="s">
        <v>4921</v>
      </c>
      <c r="E400" s="0" t="s">
        <v>4922</v>
      </c>
      <c r="F400" s="0" t="s">
        <v>3816</v>
      </c>
      <c r="G400" s="0" t="s">
        <v>4923</v>
      </c>
    </row>
    <row customHeight="1" ht="11.25">
      <c r="A401" s="379" t="s">
        <v>16</v>
      </c>
      <c r="B401" s="0" t="s">
        <v>4898</v>
      </c>
      <c r="C401" s="0" t="s">
        <v>4899</v>
      </c>
      <c r="D401" s="0" t="s">
        <v>4924</v>
      </c>
      <c r="E401" s="0" t="s">
        <v>4925</v>
      </c>
      <c r="F401" s="0" t="s">
        <v>3809</v>
      </c>
      <c r="G401" s="0" t="s">
        <v>4926</v>
      </c>
    </row>
    <row customHeight="1" ht="11.25">
      <c r="A402" s="379" t="s">
        <v>16</v>
      </c>
      <c r="B402" s="0" t="s">
        <v>4898</v>
      </c>
      <c r="C402" s="0" t="s">
        <v>4899</v>
      </c>
      <c r="D402" s="0" t="s">
        <v>4927</v>
      </c>
      <c r="E402" s="0" t="s">
        <v>4928</v>
      </c>
      <c r="F402" s="0" t="s">
        <v>3809</v>
      </c>
      <c r="G402" s="0" t="s">
        <v>4929</v>
      </c>
    </row>
    <row customHeight="1" ht="11.25">
      <c r="A403" s="379" t="s">
        <v>16</v>
      </c>
      <c r="B403" s="0" t="s">
        <v>4898</v>
      </c>
      <c r="C403" s="0" t="s">
        <v>4899</v>
      </c>
      <c r="D403" s="0" t="s">
        <v>4898</v>
      </c>
      <c r="E403" s="0" t="s">
        <v>4899</v>
      </c>
      <c r="F403" s="0" t="s">
        <v>3806</v>
      </c>
      <c r="G403" s="0" t="s">
        <v>4930</v>
      </c>
    </row>
    <row customHeight="1" ht="11.25">
      <c r="A404" s="379" t="s">
        <v>16</v>
      </c>
      <c r="B404" s="0" t="s">
        <v>4898</v>
      </c>
      <c r="C404" s="0" t="s">
        <v>4899</v>
      </c>
      <c r="D404" s="0" t="s">
        <v>4931</v>
      </c>
      <c r="E404" s="0" t="s">
        <v>4932</v>
      </c>
      <c r="F404" s="0" t="s">
        <v>3809</v>
      </c>
      <c r="G404" s="0" t="s">
        <v>4933</v>
      </c>
    </row>
    <row customHeight="1" ht="11.25">
      <c r="A405" s="379" t="s">
        <v>16</v>
      </c>
      <c r="B405" s="0" t="s">
        <v>4934</v>
      </c>
      <c r="C405" s="0" t="s">
        <v>4935</v>
      </c>
      <c r="D405" s="0" t="s">
        <v>4936</v>
      </c>
      <c r="E405" s="0" t="s">
        <v>4937</v>
      </c>
      <c r="F405" s="0" t="s">
        <v>3809</v>
      </c>
      <c r="G405" s="0" t="s">
        <v>4938</v>
      </c>
    </row>
    <row customHeight="1" ht="11.25">
      <c r="A406" s="379" t="s">
        <v>16</v>
      </c>
      <c r="B406" s="0" t="s">
        <v>4934</v>
      </c>
      <c r="C406" s="0" t="s">
        <v>4935</v>
      </c>
      <c r="D406" s="0" t="s">
        <v>4939</v>
      </c>
      <c r="E406" s="0" t="s">
        <v>4940</v>
      </c>
      <c r="F406" s="0" t="s">
        <v>3809</v>
      </c>
      <c r="G406" s="0" t="s">
        <v>4941</v>
      </c>
    </row>
    <row customHeight="1" ht="11.25">
      <c r="A407" s="379" t="s">
        <v>16</v>
      </c>
      <c r="B407" s="0" t="s">
        <v>4934</v>
      </c>
      <c r="C407" s="0" t="s">
        <v>4935</v>
      </c>
      <c r="D407" s="0" t="s">
        <v>4942</v>
      </c>
      <c r="E407" s="0" t="s">
        <v>4943</v>
      </c>
      <c r="F407" s="0" t="s">
        <v>3816</v>
      </c>
      <c r="G407" s="0" t="s">
        <v>4944</v>
      </c>
    </row>
    <row customHeight="1" ht="11.25">
      <c r="A408" s="379" t="s">
        <v>16</v>
      </c>
      <c r="B408" s="0" t="s">
        <v>4934</v>
      </c>
      <c r="C408" s="0" t="s">
        <v>4935</v>
      </c>
      <c r="D408" s="0" t="s">
        <v>4945</v>
      </c>
      <c r="E408" s="0" t="s">
        <v>4946</v>
      </c>
      <c r="F408" s="0" t="s">
        <v>3816</v>
      </c>
      <c r="G408" s="0" t="s">
        <v>4947</v>
      </c>
    </row>
    <row customHeight="1" ht="11.25">
      <c r="A409" s="379" t="s">
        <v>16</v>
      </c>
      <c r="B409" s="0" t="s">
        <v>4934</v>
      </c>
      <c r="C409" s="0" t="s">
        <v>4935</v>
      </c>
      <c r="D409" s="0" t="s">
        <v>4948</v>
      </c>
      <c r="E409" s="0" t="s">
        <v>4949</v>
      </c>
      <c r="F409" s="0" t="s">
        <v>3816</v>
      </c>
      <c r="G409" s="0" t="s">
        <v>4950</v>
      </c>
    </row>
    <row customHeight="1" ht="11.25">
      <c r="A410" s="379" t="s">
        <v>16</v>
      </c>
      <c r="B410" s="0" t="s">
        <v>4934</v>
      </c>
      <c r="C410" s="0" t="s">
        <v>4935</v>
      </c>
      <c r="D410" s="0" t="s">
        <v>4951</v>
      </c>
      <c r="E410" s="0" t="s">
        <v>4952</v>
      </c>
      <c r="F410" s="0" t="s">
        <v>3809</v>
      </c>
      <c r="G410" s="0" t="s">
        <v>4953</v>
      </c>
    </row>
    <row customHeight="1" ht="11.25">
      <c r="A411" s="379" t="s">
        <v>16</v>
      </c>
      <c r="B411" s="0" t="s">
        <v>4934</v>
      </c>
      <c r="C411" s="0" t="s">
        <v>4935</v>
      </c>
      <c r="D411" s="0" t="s">
        <v>4954</v>
      </c>
      <c r="E411" s="0" t="s">
        <v>4955</v>
      </c>
      <c r="F411" s="0" t="s">
        <v>3809</v>
      </c>
      <c r="G411" s="0" t="s">
        <v>4956</v>
      </c>
    </row>
    <row customHeight="1" ht="11.25">
      <c r="A412" s="379" t="s">
        <v>16</v>
      </c>
      <c r="B412" s="0" t="s">
        <v>4934</v>
      </c>
      <c r="C412" s="0" t="s">
        <v>4935</v>
      </c>
      <c r="D412" s="0" t="s">
        <v>4957</v>
      </c>
      <c r="E412" s="0" t="s">
        <v>4958</v>
      </c>
      <c r="F412" s="0" t="s">
        <v>3809</v>
      </c>
      <c r="G412" s="0" t="s">
        <v>4959</v>
      </c>
    </row>
    <row customHeight="1" ht="11.25">
      <c r="A413" s="379" t="s">
        <v>16</v>
      </c>
      <c r="B413" s="0" t="s">
        <v>4934</v>
      </c>
      <c r="C413" s="0" t="s">
        <v>4935</v>
      </c>
      <c r="D413" s="0" t="s">
        <v>4934</v>
      </c>
      <c r="E413" s="0" t="s">
        <v>4935</v>
      </c>
      <c r="F413" s="0" t="s">
        <v>3806</v>
      </c>
      <c r="G413" s="0" t="s">
        <v>4960</v>
      </c>
    </row>
    <row customHeight="1" ht="11.25">
      <c r="A414" s="379" t="s">
        <v>16</v>
      </c>
      <c r="B414" s="0" t="s">
        <v>4934</v>
      </c>
      <c r="C414" s="0" t="s">
        <v>4935</v>
      </c>
      <c r="D414" s="0" t="s">
        <v>4961</v>
      </c>
      <c r="E414" s="0" t="s">
        <v>4962</v>
      </c>
      <c r="F414" s="0" t="s">
        <v>3809</v>
      </c>
      <c r="G414" s="0" t="s">
        <v>4963</v>
      </c>
    </row>
    <row customHeight="1" ht="11.25">
      <c r="A415" s="379" t="s">
        <v>16</v>
      </c>
      <c r="B415" s="0" t="s">
        <v>4934</v>
      </c>
      <c r="C415" s="0" t="s">
        <v>4935</v>
      </c>
      <c r="D415" s="0" t="s">
        <v>4964</v>
      </c>
      <c r="E415" s="0" t="s">
        <v>4965</v>
      </c>
      <c r="F415" s="0" t="s">
        <v>3809</v>
      </c>
      <c r="G415" s="0" t="s">
        <v>4966</v>
      </c>
    </row>
    <row customHeight="1" ht="11.25">
      <c r="A416" s="379" t="s">
        <v>16</v>
      </c>
      <c r="B416" s="0" t="s">
        <v>4967</v>
      </c>
      <c r="C416" s="0" t="s">
        <v>4968</v>
      </c>
      <c r="D416" s="0" t="s">
        <v>4138</v>
      </c>
      <c r="E416" s="0" t="s">
        <v>4969</v>
      </c>
      <c r="F416" s="0" t="s">
        <v>3809</v>
      </c>
      <c r="G416" s="0" t="s">
        <v>4970</v>
      </c>
    </row>
    <row customHeight="1" ht="11.25">
      <c r="A417" s="379" t="s">
        <v>16</v>
      </c>
      <c r="B417" s="0" t="s">
        <v>4967</v>
      </c>
      <c r="C417" s="0" t="s">
        <v>4968</v>
      </c>
      <c r="D417" s="0" t="s">
        <v>4971</v>
      </c>
      <c r="E417" s="0" t="s">
        <v>4972</v>
      </c>
      <c r="F417" s="0" t="s">
        <v>3827</v>
      </c>
      <c r="G417" s="0" t="s">
        <v>4973</v>
      </c>
    </row>
    <row customHeight="1" ht="11.25">
      <c r="A418" s="379" t="s">
        <v>16</v>
      </c>
      <c r="B418" s="0" t="s">
        <v>4967</v>
      </c>
      <c r="C418" s="0" t="s">
        <v>4968</v>
      </c>
      <c r="D418" s="0" t="s">
        <v>4974</v>
      </c>
      <c r="E418" s="0" t="s">
        <v>4975</v>
      </c>
      <c r="F418" s="0" t="s">
        <v>3809</v>
      </c>
      <c r="G418" s="0" t="s">
        <v>4976</v>
      </c>
    </row>
    <row customHeight="1" ht="11.25">
      <c r="A419" s="379" t="s">
        <v>16</v>
      </c>
      <c r="B419" s="0" t="s">
        <v>4967</v>
      </c>
      <c r="C419" s="0" t="s">
        <v>4968</v>
      </c>
      <c r="D419" s="0" t="s">
        <v>4977</v>
      </c>
      <c r="E419" s="0" t="s">
        <v>4978</v>
      </c>
      <c r="F419" s="0" t="s">
        <v>3809</v>
      </c>
      <c r="G419" s="0" t="s">
        <v>4979</v>
      </c>
    </row>
    <row customHeight="1" ht="11.25">
      <c r="A420" s="379" t="s">
        <v>16</v>
      </c>
      <c r="B420" s="0" t="s">
        <v>4967</v>
      </c>
      <c r="C420" s="0" t="s">
        <v>4968</v>
      </c>
      <c r="D420" s="0" t="s">
        <v>4980</v>
      </c>
      <c r="E420" s="0" t="s">
        <v>4981</v>
      </c>
      <c r="F420" s="0" t="s">
        <v>3809</v>
      </c>
      <c r="G420" s="0" t="s">
        <v>4982</v>
      </c>
    </row>
    <row customHeight="1" ht="11.25">
      <c r="A421" s="379" t="s">
        <v>16</v>
      </c>
      <c r="B421" s="0" t="s">
        <v>4967</v>
      </c>
      <c r="C421" s="0" t="s">
        <v>4968</v>
      </c>
      <c r="D421" s="0" t="s">
        <v>4983</v>
      </c>
      <c r="E421" s="0" t="s">
        <v>4984</v>
      </c>
      <c r="F421" s="0" t="s">
        <v>3809</v>
      </c>
      <c r="G421" s="0" t="s">
        <v>4985</v>
      </c>
    </row>
    <row customHeight="1" ht="11.25">
      <c r="A422" s="379" t="s">
        <v>16</v>
      </c>
      <c r="B422" s="0" t="s">
        <v>4967</v>
      </c>
      <c r="C422" s="0" t="s">
        <v>4968</v>
      </c>
      <c r="D422" s="0" t="s">
        <v>4986</v>
      </c>
      <c r="E422" s="0" t="s">
        <v>4987</v>
      </c>
      <c r="F422" s="0" t="s">
        <v>3809</v>
      </c>
      <c r="G422" s="0" t="s">
        <v>4988</v>
      </c>
    </row>
    <row customHeight="1" ht="11.25">
      <c r="A423" s="379" t="s">
        <v>16</v>
      </c>
      <c r="B423" s="0" t="s">
        <v>4967</v>
      </c>
      <c r="C423" s="0" t="s">
        <v>4968</v>
      </c>
      <c r="D423" s="0" t="s">
        <v>4989</v>
      </c>
      <c r="E423" s="0" t="s">
        <v>4990</v>
      </c>
      <c r="F423" s="0" t="s">
        <v>3809</v>
      </c>
      <c r="G423" s="0" t="s">
        <v>4991</v>
      </c>
    </row>
    <row customHeight="1" ht="11.25">
      <c r="A424" s="379" t="s">
        <v>16</v>
      </c>
      <c r="B424" s="0" t="s">
        <v>4967</v>
      </c>
      <c r="C424" s="0" t="s">
        <v>4968</v>
      </c>
      <c r="D424" s="0" t="s">
        <v>4992</v>
      </c>
      <c r="E424" s="0" t="s">
        <v>4993</v>
      </c>
      <c r="F424" s="0" t="s">
        <v>3809</v>
      </c>
      <c r="G424" s="0" t="s">
        <v>4994</v>
      </c>
    </row>
    <row customHeight="1" ht="11.25">
      <c r="A425" s="379" t="s">
        <v>16</v>
      </c>
      <c r="B425" s="0" t="s">
        <v>4967</v>
      </c>
      <c r="C425" s="0" t="s">
        <v>4968</v>
      </c>
      <c r="D425" s="0" t="s">
        <v>4995</v>
      </c>
      <c r="E425" s="0" t="s">
        <v>4996</v>
      </c>
      <c r="F425" s="0" t="s">
        <v>3809</v>
      </c>
      <c r="G425" s="0" t="s">
        <v>4997</v>
      </c>
    </row>
    <row customHeight="1" ht="11.25">
      <c r="A426" s="379" t="s">
        <v>16</v>
      </c>
      <c r="B426" s="0" t="s">
        <v>4967</v>
      </c>
      <c r="C426" s="0" t="s">
        <v>4968</v>
      </c>
      <c r="D426" s="0" t="s">
        <v>4998</v>
      </c>
      <c r="E426" s="0" t="s">
        <v>4999</v>
      </c>
      <c r="F426" s="0" t="s">
        <v>3809</v>
      </c>
      <c r="G426" s="0" t="s">
        <v>5000</v>
      </c>
    </row>
    <row customHeight="1" ht="11.25">
      <c r="A427" s="379" t="s">
        <v>16</v>
      </c>
      <c r="B427" s="0" t="s">
        <v>4967</v>
      </c>
      <c r="C427" s="0" t="s">
        <v>4968</v>
      </c>
      <c r="D427" s="0" t="s">
        <v>5001</v>
      </c>
      <c r="E427" s="0" t="s">
        <v>5002</v>
      </c>
      <c r="F427" s="0" t="s">
        <v>3809</v>
      </c>
      <c r="G427" s="0" t="s">
        <v>5003</v>
      </c>
    </row>
    <row customHeight="1" ht="11.25">
      <c r="A428" s="379" t="s">
        <v>16</v>
      </c>
      <c r="B428" s="0" t="s">
        <v>4967</v>
      </c>
      <c r="C428" s="0" t="s">
        <v>4968</v>
      </c>
      <c r="D428" s="0" t="s">
        <v>5004</v>
      </c>
      <c r="E428" s="0" t="s">
        <v>5005</v>
      </c>
      <c r="F428" s="0" t="s">
        <v>3809</v>
      </c>
      <c r="G428" s="0" t="s">
        <v>5006</v>
      </c>
    </row>
    <row customHeight="1" ht="11.25">
      <c r="A429" s="379" t="s">
        <v>16</v>
      </c>
      <c r="B429" s="0" t="s">
        <v>4967</v>
      </c>
      <c r="C429" s="0" t="s">
        <v>4968</v>
      </c>
      <c r="D429" s="0" t="s">
        <v>5007</v>
      </c>
      <c r="E429" s="0" t="s">
        <v>5008</v>
      </c>
      <c r="F429" s="0" t="s">
        <v>3816</v>
      </c>
      <c r="G429" s="0" t="s">
        <v>5009</v>
      </c>
    </row>
    <row customHeight="1" ht="11.25">
      <c r="A430" s="379" t="s">
        <v>16</v>
      </c>
      <c r="B430" s="0" t="s">
        <v>4967</v>
      </c>
      <c r="C430" s="0" t="s">
        <v>4968</v>
      </c>
      <c r="D430" s="0" t="s">
        <v>5010</v>
      </c>
      <c r="E430" s="0" t="s">
        <v>5011</v>
      </c>
      <c r="F430" s="0" t="s">
        <v>3809</v>
      </c>
      <c r="G430" s="0" t="s">
        <v>5012</v>
      </c>
    </row>
    <row customHeight="1" ht="11.25">
      <c r="A431" s="379" t="s">
        <v>16</v>
      </c>
      <c r="B431" s="0" t="s">
        <v>4967</v>
      </c>
      <c r="C431" s="0" t="s">
        <v>4968</v>
      </c>
      <c r="D431" s="0" t="s">
        <v>5013</v>
      </c>
      <c r="E431" s="0" t="s">
        <v>5014</v>
      </c>
      <c r="F431" s="0" t="s">
        <v>3809</v>
      </c>
      <c r="G431" s="0" t="s">
        <v>5015</v>
      </c>
    </row>
    <row customHeight="1" ht="11.25">
      <c r="A432" s="379" t="s">
        <v>16</v>
      </c>
      <c r="B432" s="0" t="s">
        <v>4967</v>
      </c>
      <c r="C432" s="0" t="s">
        <v>4968</v>
      </c>
      <c r="D432" s="0" t="s">
        <v>5016</v>
      </c>
      <c r="E432" s="0" t="s">
        <v>5017</v>
      </c>
      <c r="F432" s="0" t="s">
        <v>3809</v>
      </c>
      <c r="G432" s="0" t="s">
        <v>5018</v>
      </c>
    </row>
    <row customHeight="1" ht="11.25">
      <c r="A433" s="379" t="s">
        <v>16</v>
      </c>
      <c r="B433" s="0" t="s">
        <v>4967</v>
      </c>
      <c r="C433" s="0" t="s">
        <v>4968</v>
      </c>
      <c r="D433" s="0" t="s">
        <v>5019</v>
      </c>
      <c r="E433" s="0" t="s">
        <v>5020</v>
      </c>
      <c r="F433" s="0" t="s">
        <v>3809</v>
      </c>
      <c r="G433" s="0" t="s">
        <v>5021</v>
      </c>
    </row>
    <row customHeight="1" ht="11.25">
      <c r="A434" s="379" t="s">
        <v>16</v>
      </c>
      <c r="B434" s="0" t="s">
        <v>4967</v>
      </c>
      <c r="C434" s="0" t="s">
        <v>4968</v>
      </c>
      <c r="D434" s="0" t="s">
        <v>4967</v>
      </c>
      <c r="E434" s="0" t="s">
        <v>4968</v>
      </c>
      <c r="F434" s="0" t="s">
        <v>3806</v>
      </c>
      <c r="G434" s="0" t="s">
        <v>5022</v>
      </c>
    </row>
    <row customHeight="1" ht="11.25">
      <c r="A435" s="379" t="s">
        <v>16</v>
      </c>
      <c r="B435" s="0" t="s">
        <v>5023</v>
      </c>
      <c r="C435" s="0" t="s">
        <v>5024</v>
      </c>
      <c r="D435" s="0" t="s">
        <v>5025</v>
      </c>
      <c r="E435" s="0" t="s">
        <v>5026</v>
      </c>
      <c r="F435" s="0" t="s">
        <v>3809</v>
      </c>
      <c r="G435" s="0" t="s">
        <v>5027</v>
      </c>
    </row>
    <row customHeight="1" ht="11.25">
      <c r="A436" s="379" t="s">
        <v>16</v>
      </c>
      <c r="B436" s="0" t="s">
        <v>5023</v>
      </c>
      <c r="C436" s="0" t="s">
        <v>5024</v>
      </c>
      <c r="D436" s="0" t="s">
        <v>3960</v>
      </c>
      <c r="E436" s="0" t="s">
        <v>5028</v>
      </c>
      <c r="F436" s="0" t="s">
        <v>3809</v>
      </c>
      <c r="G436" s="0" t="s">
        <v>5029</v>
      </c>
    </row>
    <row customHeight="1" ht="11.25">
      <c r="A437" s="379" t="s">
        <v>16</v>
      </c>
      <c r="B437" s="0" t="s">
        <v>5023</v>
      </c>
      <c r="C437" s="0" t="s">
        <v>5024</v>
      </c>
      <c r="D437" s="0" t="s">
        <v>5030</v>
      </c>
      <c r="E437" s="0" t="s">
        <v>5031</v>
      </c>
      <c r="F437" s="0" t="s">
        <v>3809</v>
      </c>
      <c r="G437" s="0" t="s">
        <v>5032</v>
      </c>
    </row>
    <row customHeight="1" ht="11.25">
      <c r="A438" s="379" t="s">
        <v>16</v>
      </c>
      <c r="B438" s="0" t="s">
        <v>5023</v>
      </c>
      <c r="C438" s="0" t="s">
        <v>5024</v>
      </c>
      <c r="D438" s="0" t="s">
        <v>5033</v>
      </c>
      <c r="E438" s="0" t="s">
        <v>5034</v>
      </c>
      <c r="F438" s="0" t="s">
        <v>3809</v>
      </c>
      <c r="G438" s="0" t="s">
        <v>5035</v>
      </c>
    </row>
    <row customHeight="1" ht="11.25">
      <c r="A439" s="379" t="s">
        <v>16</v>
      </c>
      <c r="B439" s="0" t="s">
        <v>5023</v>
      </c>
      <c r="C439" s="0" t="s">
        <v>5024</v>
      </c>
      <c r="D439" s="0" t="s">
        <v>3865</v>
      </c>
      <c r="E439" s="0" t="s">
        <v>5036</v>
      </c>
      <c r="F439" s="0" t="s">
        <v>3809</v>
      </c>
      <c r="G439" s="0" t="s">
        <v>5037</v>
      </c>
    </row>
    <row customHeight="1" ht="11.25">
      <c r="A440" s="379" t="s">
        <v>16</v>
      </c>
      <c r="B440" s="0" t="s">
        <v>5023</v>
      </c>
      <c r="C440" s="0" t="s">
        <v>5024</v>
      </c>
      <c r="D440" s="0" t="s">
        <v>5038</v>
      </c>
      <c r="E440" s="0" t="s">
        <v>5039</v>
      </c>
      <c r="F440" s="0" t="s">
        <v>3809</v>
      </c>
      <c r="G440" s="0" t="s">
        <v>5040</v>
      </c>
    </row>
    <row customHeight="1" ht="11.25">
      <c r="A441" s="379" t="s">
        <v>16</v>
      </c>
      <c r="B441" s="0" t="s">
        <v>5023</v>
      </c>
      <c r="C441" s="0" t="s">
        <v>5024</v>
      </c>
      <c r="D441" s="0" t="s">
        <v>5041</v>
      </c>
      <c r="E441" s="0" t="s">
        <v>5042</v>
      </c>
      <c r="F441" s="0" t="s">
        <v>3809</v>
      </c>
      <c r="G441" s="0" t="s">
        <v>5043</v>
      </c>
    </row>
    <row customHeight="1" ht="11.25">
      <c r="A442" s="379" t="s">
        <v>16</v>
      </c>
      <c r="B442" s="0" t="s">
        <v>5023</v>
      </c>
      <c r="C442" s="0" t="s">
        <v>5024</v>
      </c>
      <c r="D442" s="0" t="s">
        <v>5044</v>
      </c>
      <c r="E442" s="0" t="s">
        <v>5045</v>
      </c>
      <c r="F442" s="0" t="s">
        <v>3809</v>
      </c>
      <c r="G442" s="0" t="s">
        <v>5046</v>
      </c>
    </row>
    <row customHeight="1" ht="11.25">
      <c r="A443" s="379" t="s">
        <v>16</v>
      </c>
      <c r="B443" s="0" t="s">
        <v>5023</v>
      </c>
      <c r="C443" s="0" t="s">
        <v>5024</v>
      </c>
      <c r="D443" s="0" t="s">
        <v>5047</v>
      </c>
      <c r="E443" s="0" t="s">
        <v>5048</v>
      </c>
      <c r="F443" s="0" t="s">
        <v>3809</v>
      </c>
      <c r="G443" s="0" t="s">
        <v>5049</v>
      </c>
    </row>
    <row customHeight="1" ht="11.25">
      <c r="A444" s="379" t="s">
        <v>16</v>
      </c>
      <c r="B444" s="0" t="s">
        <v>5023</v>
      </c>
      <c r="C444" s="0" t="s">
        <v>5024</v>
      </c>
      <c r="D444" s="0" t="s">
        <v>5050</v>
      </c>
      <c r="E444" s="0" t="s">
        <v>5051</v>
      </c>
      <c r="F444" s="0" t="s">
        <v>3809</v>
      </c>
      <c r="G444" s="0" t="s">
        <v>5052</v>
      </c>
    </row>
    <row customHeight="1" ht="11.25">
      <c r="A445" s="379" t="s">
        <v>16</v>
      </c>
      <c r="B445" s="0" t="s">
        <v>5023</v>
      </c>
      <c r="C445" s="0" t="s">
        <v>5024</v>
      </c>
      <c r="D445" s="0" t="s">
        <v>5053</v>
      </c>
      <c r="E445" s="0" t="s">
        <v>5054</v>
      </c>
      <c r="F445" s="0" t="s">
        <v>3809</v>
      </c>
      <c r="G445" s="0" t="s">
        <v>5055</v>
      </c>
    </row>
    <row customHeight="1" ht="11.25">
      <c r="A446" s="379" t="s">
        <v>16</v>
      </c>
      <c r="B446" s="0" t="s">
        <v>5023</v>
      </c>
      <c r="C446" s="0" t="s">
        <v>5024</v>
      </c>
      <c r="D446" s="0" t="s">
        <v>5056</v>
      </c>
      <c r="E446" s="0" t="s">
        <v>5057</v>
      </c>
      <c r="F446" s="0" t="s">
        <v>3809</v>
      </c>
      <c r="G446" s="0" t="s">
        <v>5058</v>
      </c>
    </row>
    <row customHeight="1" ht="11.25">
      <c r="A447" s="379" t="s">
        <v>16</v>
      </c>
      <c r="B447" s="0" t="s">
        <v>5023</v>
      </c>
      <c r="C447" s="0" t="s">
        <v>5024</v>
      </c>
      <c r="D447" s="0" t="s">
        <v>5059</v>
      </c>
      <c r="E447" s="0" t="s">
        <v>5060</v>
      </c>
      <c r="F447" s="0" t="s">
        <v>3809</v>
      </c>
      <c r="G447" s="0" t="s">
        <v>5061</v>
      </c>
    </row>
    <row customHeight="1" ht="11.25">
      <c r="A448" s="379" t="s">
        <v>16</v>
      </c>
      <c r="B448" s="0" t="s">
        <v>5023</v>
      </c>
      <c r="C448" s="0" t="s">
        <v>5024</v>
      </c>
      <c r="D448" s="0" t="s">
        <v>5062</v>
      </c>
      <c r="E448" s="0" t="s">
        <v>5063</v>
      </c>
      <c r="F448" s="0" t="s">
        <v>3809</v>
      </c>
      <c r="G448" s="0" t="s">
        <v>5064</v>
      </c>
    </row>
    <row customHeight="1" ht="11.25">
      <c r="A449" s="379" t="s">
        <v>16</v>
      </c>
      <c r="B449" s="0" t="s">
        <v>5023</v>
      </c>
      <c r="C449" s="0" t="s">
        <v>5024</v>
      </c>
      <c r="D449" s="0" t="s">
        <v>5065</v>
      </c>
      <c r="E449" s="0" t="s">
        <v>5066</v>
      </c>
      <c r="F449" s="0" t="s">
        <v>3809</v>
      </c>
      <c r="G449" s="0" t="s">
        <v>5067</v>
      </c>
    </row>
    <row customHeight="1" ht="11.25">
      <c r="A450" s="379" t="s">
        <v>16</v>
      </c>
      <c r="B450" s="0" t="s">
        <v>5023</v>
      </c>
      <c r="C450" s="0" t="s">
        <v>5024</v>
      </c>
      <c r="D450" s="0" t="s">
        <v>3877</v>
      </c>
      <c r="E450" s="0" t="s">
        <v>5068</v>
      </c>
      <c r="F450" s="0" t="s">
        <v>3809</v>
      </c>
      <c r="G450" s="0" t="s">
        <v>5069</v>
      </c>
    </row>
    <row customHeight="1" ht="11.25">
      <c r="A451" s="379" t="s">
        <v>16</v>
      </c>
      <c r="B451" s="0" t="s">
        <v>5023</v>
      </c>
      <c r="C451" s="0" t="s">
        <v>5024</v>
      </c>
      <c r="D451" s="0" t="s">
        <v>5023</v>
      </c>
      <c r="E451" s="0" t="s">
        <v>5024</v>
      </c>
      <c r="F451" s="0" t="s">
        <v>3806</v>
      </c>
      <c r="G451" s="0" t="s">
        <v>5070</v>
      </c>
    </row>
    <row customHeight="1" ht="11.25">
      <c r="A452" s="379" t="s">
        <v>16</v>
      </c>
      <c r="B452" s="0" t="s">
        <v>5023</v>
      </c>
      <c r="C452" s="0" t="s">
        <v>5024</v>
      </c>
      <c r="D452" s="0" t="s">
        <v>5071</v>
      </c>
      <c r="E452" s="0" t="s">
        <v>5072</v>
      </c>
      <c r="F452" s="0" t="s">
        <v>3809</v>
      </c>
      <c r="G452" s="0" t="s">
        <v>5073</v>
      </c>
    </row>
    <row customHeight="1" ht="11.25">
      <c r="A453" s="379" t="s">
        <v>16</v>
      </c>
      <c r="B453" s="0" t="s">
        <v>5074</v>
      </c>
      <c r="C453" s="0" t="s">
        <v>5075</v>
      </c>
      <c r="D453" s="0" t="s">
        <v>5076</v>
      </c>
      <c r="E453" s="0" t="s">
        <v>5077</v>
      </c>
      <c r="F453" s="0" t="s">
        <v>3809</v>
      </c>
      <c r="G453" s="0" t="s">
        <v>5078</v>
      </c>
    </row>
    <row customHeight="1" ht="11.25">
      <c r="A454" s="379" t="s">
        <v>16</v>
      </c>
      <c r="B454" s="0" t="s">
        <v>5074</v>
      </c>
      <c r="C454" s="0" t="s">
        <v>5075</v>
      </c>
      <c r="D454" s="0" t="s">
        <v>5079</v>
      </c>
      <c r="E454" s="0" t="s">
        <v>5080</v>
      </c>
      <c r="F454" s="0" t="s">
        <v>3809</v>
      </c>
      <c r="G454" s="0" t="s">
        <v>5081</v>
      </c>
    </row>
    <row customHeight="1" ht="11.25">
      <c r="A455" s="379" t="s">
        <v>16</v>
      </c>
      <c r="B455" s="0" t="s">
        <v>5074</v>
      </c>
      <c r="C455" s="0" t="s">
        <v>5075</v>
      </c>
      <c r="D455" s="0" t="s">
        <v>5082</v>
      </c>
      <c r="E455" s="0" t="s">
        <v>5083</v>
      </c>
      <c r="F455" s="0" t="s">
        <v>3809</v>
      </c>
      <c r="G455" s="0" t="s">
        <v>5084</v>
      </c>
    </row>
    <row customHeight="1" ht="11.25">
      <c r="A456" s="379" t="s">
        <v>16</v>
      </c>
      <c r="B456" s="0" t="s">
        <v>5074</v>
      </c>
      <c r="C456" s="0" t="s">
        <v>5075</v>
      </c>
      <c r="D456" s="0" t="s">
        <v>5074</v>
      </c>
      <c r="E456" s="0" t="s">
        <v>5075</v>
      </c>
      <c r="F456" s="0" t="s">
        <v>3806</v>
      </c>
      <c r="G456" s="0" t="s">
        <v>5085</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EFE221-7803-9716-3BF2-B8F935BB7BA4}" mc:Ignorable="x14ac xr xr2 xr3">
  <sheetPr>
    <tabColor rgb="FFFFCC99"/>
  </sheetPr>
  <dimension ref="A1:I31"/>
  <sheetViews>
    <sheetView topLeftCell="A1" showGridLines="0" workbookViewId="0">
      <selection activeCell="A1" sqref="A1"/>
    </sheetView>
  </sheetViews>
  <sheetFormatPr defaultColWidth="9.140625" customHeight="1" defaultRowHeight="11.25"/>
  <cols>
    <col min="1" max="1" style="1697" width="13.8515625" customWidth="1"/>
    <col min="2" max="2" style="1697" width="10.421875" customWidth="1"/>
    <col min="3" max="3" style="1697" width="7.57421875" customWidth="1"/>
    <col min="4" max="4" style="1697" width="13.8515625" customWidth="1"/>
    <col min="5" max="5" style="1697" width="11.57421875" customWidth="1"/>
    <col min="6" max="6" style="1697" width="16.28125" customWidth="1"/>
    <col min="7" max="7" style="1697" width="16.00390625" customWidth="1"/>
    <col min="8" max="9" style="1697" width="16.140625" customWidth="1"/>
  </cols>
  <sheetData>
    <row customHeight="1" ht="11.25">
      <c r="A1" s="841" t="s">
        <v>5086</v>
      </c>
      <c r="B1" s="841" t="s">
        <v>5087</v>
      </c>
      <c r="C1" s="1165" t="s">
        <v>5088</v>
      </c>
      <c r="D1" s="841" t="s">
        <v>5089</v>
      </c>
      <c r="E1" s="841" t="s">
        <v>5090</v>
      </c>
      <c r="F1" s="1165" t="s">
        <v>5091</v>
      </c>
      <c r="G1" s="1165" t="s">
        <v>5092</v>
      </c>
      <c r="H1" s="1165" t="s">
        <v>5093</v>
      </c>
      <c r="I1" s="1165" t="s">
        <v>5094</v>
      </c>
    </row>
    <row customHeight="1" ht="11.25">
      <c r="A2" s="1697" t="s">
        <v>111</v>
      </c>
      <c r="B2" s="1697" t="s">
        <v>5095</v>
      </c>
      <c r="C2" s="1697" t="s">
        <v>28</v>
      </c>
      <c r="D2" s="1697" t="s">
        <v>5096</v>
      </c>
      <c r="E2" s="1697" t="s">
        <v>5097</v>
      </c>
      <c r="F2" s="1697" t="s">
        <v>28</v>
      </c>
      <c r="G2" s="1697" t="s">
        <v>28</v>
      </c>
      <c r="H2" s="1697" t="s">
        <v>28</v>
      </c>
      <c r="I2" s="1697" t="s">
        <v>28</v>
      </c>
    </row>
    <row customHeight="1" ht="11.25">
      <c r="A3" s="1697" t="s">
        <v>112</v>
      </c>
      <c r="B3" s="1697" t="s">
        <v>5098</v>
      </c>
      <c r="C3" s="1697" t="s">
        <v>28</v>
      </c>
      <c r="D3" s="1697" t="s">
        <v>5099</v>
      </c>
      <c r="E3" s="1697" t="s">
        <v>5100</v>
      </c>
      <c r="F3" s="1697" t="s">
        <v>28</v>
      </c>
      <c r="G3" s="1697" t="s">
        <v>28</v>
      </c>
      <c r="H3" s="1697" t="s">
        <v>28</v>
      </c>
      <c r="I3" s="1697" t="s">
        <v>28</v>
      </c>
    </row>
    <row customHeight="1" ht="11.25">
      <c r="A4" s="1697" t="s">
        <v>91</v>
      </c>
      <c r="B4" s="1697" t="s">
        <v>5101</v>
      </c>
      <c r="C4" s="1697" t="s">
        <v>28</v>
      </c>
      <c r="D4" s="1697" t="s">
        <v>5102</v>
      </c>
      <c r="E4" s="1697" t="s">
        <v>5103</v>
      </c>
      <c r="F4" s="1697" t="s">
        <v>28</v>
      </c>
      <c r="G4" s="1697" t="s">
        <v>28</v>
      </c>
      <c r="H4" s="1697" t="s">
        <v>28</v>
      </c>
      <c r="I4" s="1697" t="s">
        <v>28</v>
      </c>
    </row>
    <row customHeight="1" ht="11.25">
      <c r="A5" s="1697" t="s">
        <v>92</v>
      </c>
      <c r="B5" s="1697" t="s">
        <v>5104</v>
      </c>
      <c r="C5" s="1697" t="s">
        <v>28</v>
      </c>
      <c r="D5" s="1697" t="s">
        <v>5102</v>
      </c>
      <c r="E5" s="1697" t="s">
        <v>5103</v>
      </c>
      <c r="F5" s="1697" t="s">
        <v>28</v>
      </c>
      <c r="G5" s="1697" t="s">
        <v>28</v>
      </c>
      <c r="H5" s="1697" t="s">
        <v>28</v>
      </c>
      <c r="I5" s="1697" t="s">
        <v>28</v>
      </c>
    </row>
    <row customHeight="1" ht="11.25">
      <c r="A6" s="1697" t="s">
        <v>113</v>
      </c>
      <c r="B6" s="1697" t="s">
        <v>5105</v>
      </c>
      <c r="C6" s="1697" t="s">
        <v>28</v>
      </c>
      <c r="D6" s="1697" t="s">
        <v>5102</v>
      </c>
      <c r="E6" s="1697" t="s">
        <v>5103</v>
      </c>
      <c r="F6" s="1697" t="s">
        <v>28</v>
      </c>
      <c r="G6" s="1697" t="s">
        <v>28</v>
      </c>
      <c r="H6" s="1697" t="s">
        <v>28</v>
      </c>
      <c r="I6" s="1697" t="s">
        <v>28</v>
      </c>
    </row>
    <row customHeight="1" ht="11.25">
      <c r="A7" s="1697" t="s">
        <v>93</v>
      </c>
      <c r="B7" s="1697" t="s">
        <v>5106</v>
      </c>
      <c r="C7" s="1697" t="s">
        <v>28</v>
      </c>
      <c r="D7" s="1697" t="s">
        <v>5107</v>
      </c>
      <c r="E7" s="1697" t="s">
        <v>5108</v>
      </c>
      <c r="F7" s="1697" t="s">
        <v>28</v>
      </c>
      <c r="G7" s="1697" t="s">
        <v>28</v>
      </c>
      <c r="H7" s="1697" t="s">
        <v>28</v>
      </c>
      <c r="I7" s="1697" t="s">
        <v>28</v>
      </c>
    </row>
    <row customHeight="1" ht="11.25">
      <c r="A8" s="1697" t="s">
        <v>94</v>
      </c>
      <c r="B8" s="1697" t="s">
        <v>5109</v>
      </c>
      <c r="C8" s="1697" t="s">
        <v>28</v>
      </c>
      <c r="D8" s="1697" t="s">
        <v>5110</v>
      </c>
      <c r="E8" s="1697" t="s">
        <v>5108</v>
      </c>
      <c r="F8" s="1697" t="s">
        <v>28</v>
      </c>
      <c r="G8" s="1697" t="s">
        <v>28</v>
      </c>
      <c r="H8" s="1697" t="s">
        <v>28</v>
      </c>
      <c r="I8" s="1697" t="s">
        <v>28</v>
      </c>
    </row>
    <row customHeight="1" ht="11.25">
      <c r="A9" s="1697" t="s">
        <v>114</v>
      </c>
      <c r="B9" s="1697" t="s">
        <v>5111</v>
      </c>
      <c r="C9" s="1697" t="s">
        <v>28</v>
      </c>
      <c r="D9" s="1697" t="s">
        <v>5112</v>
      </c>
      <c r="E9" s="1697" t="s">
        <v>5103</v>
      </c>
      <c r="F9" s="1697" t="s">
        <v>28</v>
      </c>
      <c r="G9" s="1697" t="s">
        <v>28</v>
      </c>
      <c r="H9" s="1697" t="s">
        <v>28</v>
      </c>
      <c r="I9" s="1697" t="s">
        <v>28</v>
      </c>
    </row>
    <row customHeight="1" ht="11.25">
      <c r="A10" s="1697" t="s">
        <v>150</v>
      </c>
      <c r="B10" s="1697" t="s">
        <v>5113</v>
      </c>
      <c r="C10" s="1697" t="s">
        <v>28</v>
      </c>
      <c r="D10" s="1697" t="s">
        <v>5114</v>
      </c>
      <c r="E10" s="1697" t="s">
        <v>5115</v>
      </c>
      <c r="F10" s="1697" t="s">
        <v>28</v>
      </c>
      <c r="G10" s="1697" t="s">
        <v>28</v>
      </c>
      <c r="H10" s="1697" t="s">
        <v>28</v>
      </c>
      <c r="I10" s="1697" t="s">
        <v>28</v>
      </c>
    </row>
    <row customHeight="1" ht="11.25">
      <c r="A11" s="1697" t="s">
        <v>151</v>
      </c>
      <c r="B11" s="1697" t="s">
        <v>5116</v>
      </c>
      <c r="C11" s="1697" t="s">
        <v>28</v>
      </c>
      <c r="D11" s="1697" t="s">
        <v>5117</v>
      </c>
      <c r="E11" s="1697" t="s">
        <v>5118</v>
      </c>
      <c r="F11" s="1697" t="s">
        <v>28</v>
      </c>
      <c r="G11" s="1697" t="s">
        <v>28</v>
      </c>
      <c r="H11" s="1697" t="s">
        <v>28</v>
      </c>
      <c r="I11" s="1697" t="s">
        <v>28</v>
      </c>
    </row>
    <row customHeight="1" ht="11.25">
      <c r="A12" s="1697" t="s">
        <v>152</v>
      </c>
      <c r="B12" s="1697" t="s">
        <v>5119</v>
      </c>
      <c r="C12" s="1697" t="s">
        <v>28</v>
      </c>
      <c r="D12" s="1697" t="s">
        <v>5120</v>
      </c>
      <c r="E12" s="1697" t="s">
        <v>5103</v>
      </c>
      <c r="F12" s="1697" t="s">
        <v>28</v>
      </c>
      <c r="G12" s="1697" t="s">
        <v>28</v>
      </c>
      <c r="H12" s="1697" t="s">
        <v>28</v>
      </c>
      <c r="I12" s="1697" t="s">
        <v>28</v>
      </c>
    </row>
    <row customHeight="1" ht="11.25">
      <c r="A13" s="1697" t="s">
        <v>153</v>
      </c>
      <c r="B13" s="1697" t="s">
        <v>5121</v>
      </c>
      <c r="C13" s="1697" t="s">
        <v>28</v>
      </c>
      <c r="D13" s="1697" t="s">
        <v>5120</v>
      </c>
      <c r="E13" s="1697" t="s">
        <v>5103</v>
      </c>
      <c r="F13" s="1697" t="s">
        <v>28</v>
      </c>
      <c r="G13" s="1697" t="s">
        <v>28</v>
      </c>
      <c r="H13" s="1697" t="s">
        <v>28</v>
      </c>
      <c r="I13" s="1697" t="s">
        <v>28</v>
      </c>
    </row>
    <row customHeight="1" ht="11.25">
      <c r="A14" s="1697" t="s">
        <v>154</v>
      </c>
      <c r="B14" s="1697" t="s">
        <v>5122</v>
      </c>
      <c r="C14" s="1697" t="s">
        <v>28</v>
      </c>
      <c r="D14" s="1697" t="s">
        <v>5120</v>
      </c>
      <c r="E14" s="1697" t="s">
        <v>5103</v>
      </c>
      <c r="F14" s="1697" t="s">
        <v>28</v>
      </c>
      <c r="G14" s="1697" t="s">
        <v>28</v>
      </c>
      <c r="H14" s="1697" t="s">
        <v>28</v>
      </c>
      <c r="I14" s="1697" t="s">
        <v>28</v>
      </c>
    </row>
    <row customHeight="1" ht="11.25">
      <c r="A15" s="1697" t="s">
        <v>155</v>
      </c>
      <c r="B15" s="1697" t="s">
        <v>5123</v>
      </c>
      <c r="C15" s="1697" t="s">
        <v>28</v>
      </c>
      <c r="D15" s="1697" t="s">
        <v>5120</v>
      </c>
      <c r="E15" s="1697" t="s">
        <v>5103</v>
      </c>
      <c r="F15" s="1697" t="s">
        <v>28</v>
      </c>
      <c r="G15" s="1697" t="s">
        <v>28</v>
      </c>
      <c r="H15" s="1697" t="s">
        <v>28</v>
      </c>
      <c r="I15" s="1697" t="s">
        <v>28</v>
      </c>
    </row>
    <row customHeight="1" ht="11.25">
      <c r="A16" s="1697" t="s">
        <v>1503</v>
      </c>
      <c r="B16" s="1697" t="s">
        <v>5124</v>
      </c>
      <c r="C16" s="1697" t="s">
        <v>28</v>
      </c>
      <c r="D16" s="1697" t="s">
        <v>5120</v>
      </c>
      <c r="E16" s="1697" t="s">
        <v>5103</v>
      </c>
      <c r="F16" s="1697" t="s">
        <v>28</v>
      </c>
      <c r="G16" s="1697" t="s">
        <v>28</v>
      </c>
      <c r="H16" s="1697" t="s">
        <v>28</v>
      </c>
      <c r="I16" s="1697" t="s">
        <v>28</v>
      </c>
    </row>
    <row customHeight="1" ht="11.25">
      <c r="A17" s="1697" t="s">
        <v>1509</v>
      </c>
      <c r="B17" s="1697" t="s">
        <v>5125</v>
      </c>
      <c r="C17" s="1697" t="s">
        <v>28</v>
      </c>
      <c r="D17" s="1697" t="s">
        <v>5126</v>
      </c>
      <c r="E17" s="1697" t="s">
        <v>5103</v>
      </c>
      <c r="F17" s="1697" t="s">
        <v>28</v>
      </c>
      <c r="G17" s="1697" t="s">
        <v>28</v>
      </c>
      <c r="H17" s="1697" t="s">
        <v>28</v>
      </c>
      <c r="I17" s="1697" t="s">
        <v>28</v>
      </c>
    </row>
    <row customHeight="1" ht="11.25">
      <c r="A18" s="1697" t="s">
        <v>1521</v>
      </c>
      <c r="B18" s="1697" t="s">
        <v>5127</v>
      </c>
      <c r="C18" s="1697" t="s">
        <v>28</v>
      </c>
      <c r="D18" s="1697" t="s">
        <v>5126</v>
      </c>
      <c r="E18" s="1697" t="s">
        <v>5103</v>
      </c>
      <c r="F18" s="1697" t="s">
        <v>28</v>
      </c>
      <c r="G18" s="1697" t="s">
        <v>28</v>
      </c>
      <c r="H18" s="1697" t="s">
        <v>28</v>
      </c>
      <c r="I18" s="1697" t="s">
        <v>28</v>
      </c>
    </row>
    <row customHeight="1" ht="11.25">
      <c r="A19" s="1697" t="s">
        <v>1535</v>
      </c>
      <c r="B19" s="1697" t="s">
        <v>5128</v>
      </c>
      <c r="C19" s="1697" t="s">
        <v>28</v>
      </c>
      <c r="D19" s="1697" t="s">
        <v>5107</v>
      </c>
      <c r="E19" s="1697" t="s">
        <v>5129</v>
      </c>
      <c r="F19" s="1697" t="s">
        <v>28</v>
      </c>
      <c r="G19" s="1697" t="s">
        <v>28</v>
      </c>
      <c r="H19" s="1697" t="s">
        <v>28</v>
      </c>
      <c r="I19" s="1697" t="s">
        <v>28</v>
      </c>
    </row>
    <row customHeight="1" ht="11.25">
      <c r="A20" s="1697" t="s">
        <v>1547</v>
      </c>
      <c r="B20" s="1697" t="s">
        <v>5130</v>
      </c>
      <c r="C20" s="1697" t="s">
        <v>28</v>
      </c>
      <c r="D20" s="1697" t="s">
        <v>5131</v>
      </c>
      <c r="E20" s="1697" t="s">
        <v>5103</v>
      </c>
      <c r="F20" s="1697" t="s">
        <v>28</v>
      </c>
      <c r="G20" s="1697" t="s">
        <v>28</v>
      </c>
      <c r="H20" s="1697" t="s">
        <v>28</v>
      </c>
      <c r="I20" s="1697" t="s">
        <v>28</v>
      </c>
    </row>
    <row customHeight="1" ht="11.25">
      <c r="A21" s="1697" t="s">
        <v>1556</v>
      </c>
      <c r="B21" s="1697" t="s">
        <v>5132</v>
      </c>
      <c r="C21" s="1697" t="s">
        <v>28</v>
      </c>
      <c r="D21" s="1697" t="s">
        <v>5131</v>
      </c>
      <c r="E21" s="1697" t="s">
        <v>5103</v>
      </c>
      <c r="F21" s="1697" t="s">
        <v>28</v>
      </c>
      <c r="G21" s="1697" t="s">
        <v>28</v>
      </c>
      <c r="H21" s="1697" t="s">
        <v>28</v>
      </c>
      <c r="I21" s="1697" t="s">
        <v>28</v>
      </c>
    </row>
    <row customHeight="1" ht="11.25">
      <c r="A22" s="1697" t="s">
        <v>1572</v>
      </c>
      <c r="B22" s="1697" t="s">
        <v>5133</v>
      </c>
      <c r="C22" s="1697" t="s">
        <v>28</v>
      </c>
      <c r="D22" s="1697" t="s">
        <v>5107</v>
      </c>
      <c r="E22" s="1697" t="s">
        <v>5129</v>
      </c>
      <c r="F22" s="1697" t="s">
        <v>28</v>
      </c>
      <c r="G22" s="1697" t="s">
        <v>28</v>
      </c>
      <c r="H22" s="1697" t="s">
        <v>28</v>
      </c>
      <c r="I22" s="1697" t="s">
        <v>28</v>
      </c>
    </row>
    <row customHeight="1" ht="11.25">
      <c r="A23" s="1697" t="s">
        <v>1579</v>
      </c>
      <c r="B23" s="1697" t="s">
        <v>5134</v>
      </c>
      <c r="C23" s="1697" t="s">
        <v>28</v>
      </c>
      <c r="D23" s="1697" t="s">
        <v>5135</v>
      </c>
      <c r="E23" s="1697" t="s">
        <v>5103</v>
      </c>
      <c r="F23" s="1697" t="s">
        <v>28</v>
      </c>
      <c r="G23" s="1697" t="s">
        <v>28</v>
      </c>
      <c r="H23" s="1697" t="s">
        <v>28</v>
      </c>
      <c r="I23" s="1697" t="s">
        <v>28</v>
      </c>
    </row>
    <row customHeight="1" ht="11.25">
      <c r="A24" s="1697" t="s">
        <v>1587</v>
      </c>
      <c r="B24" s="1697" t="s">
        <v>5136</v>
      </c>
      <c r="C24" s="1697" t="s">
        <v>28</v>
      </c>
      <c r="D24" s="1697" t="s">
        <v>5107</v>
      </c>
      <c r="E24" s="1697" t="s">
        <v>5129</v>
      </c>
      <c r="F24" s="1697" t="s">
        <v>28</v>
      </c>
      <c r="G24" s="1697" t="s">
        <v>28</v>
      </c>
      <c r="H24" s="1697" t="s">
        <v>28</v>
      </c>
      <c r="I24" s="1697" t="s">
        <v>28</v>
      </c>
    </row>
    <row customHeight="1" ht="11.25">
      <c r="A25" s="1697" t="s">
        <v>1594</v>
      </c>
      <c r="B25" s="1697" t="s">
        <v>5137</v>
      </c>
      <c r="C25" s="1697" t="s">
        <v>28</v>
      </c>
      <c r="D25" s="1697" t="s">
        <v>5138</v>
      </c>
      <c r="E25" s="1697" t="s">
        <v>5129</v>
      </c>
      <c r="F25" s="1697" t="s">
        <v>28</v>
      </c>
      <c r="G25" s="1697" t="s">
        <v>28</v>
      </c>
      <c r="H25" s="1697" t="s">
        <v>28</v>
      </c>
      <c r="I25" s="1697" t="s">
        <v>28</v>
      </c>
    </row>
    <row customHeight="1" ht="11.25">
      <c r="A26" s="1697" t="s">
        <v>1598</v>
      </c>
      <c r="B26" s="1697" t="s">
        <v>5139</v>
      </c>
      <c r="C26" s="1697" t="s">
        <v>28</v>
      </c>
      <c r="D26" s="1697" t="s">
        <v>5112</v>
      </c>
      <c r="E26" s="1697" t="s">
        <v>5140</v>
      </c>
      <c r="F26" s="1697" t="s">
        <v>28</v>
      </c>
      <c r="G26" s="1697" t="s">
        <v>28</v>
      </c>
      <c r="H26" s="1697" t="s">
        <v>28</v>
      </c>
      <c r="I26" s="1697" t="s">
        <v>28</v>
      </c>
    </row>
    <row customHeight="1" ht="11.25">
      <c r="A27" s="1697" t="s">
        <v>1603</v>
      </c>
      <c r="B27" s="1697" t="s">
        <v>5141</v>
      </c>
      <c r="C27" s="1697" t="s">
        <v>28</v>
      </c>
      <c r="D27" s="1697" t="s">
        <v>5112</v>
      </c>
      <c r="E27" s="1697" t="s">
        <v>5103</v>
      </c>
      <c r="F27" s="1697" t="s">
        <v>28</v>
      </c>
      <c r="G27" s="1697" t="s">
        <v>28</v>
      </c>
      <c r="H27" s="1697" t="s">
        <v>28</v>
      </c>
      <c r="I27" s="1697" t="s">
        <v>28</v>
      </c>
    </row>
    <row customHeight="1" ht="11.25">
      <c r="A28" s="1697" t="s">
        <v>1611</v>
      </c>
      <c r="B28" s="1697" t="s">
        <v>5142</v>
      </c>
      <c r="C28" s="1697" t="s">
        <v>28</v>
      </c>
      <c r="D28" s="1697" t="s">
        <v>5120</v>
      </c>
      <c r="E28" s="1697" t="s">
        <v>5103</v>
      </c>
      <c r="F28" s="1697" t="s">
        <v>28</v>
      </c>
      <c r="G28" s="1697" t="s">
        <v>28</v>
      </c>
      <c r="H28" s="1697" t="s">
        <v>28</v>
      </c>
      <c r="I28" s="1697" t="s">
        <v>28</v>
      </c>
    </row>
    <row customHeight="1" ht="11.25">
      <c r="A29" s="1697" t="s">
        <v>1613</v>
      </c>
      <c r="B29" s="1697" t="s">
        <v>5143</v>
      </c>
      <c r="C29" s="1697" t="s">
        <v>28</v>
      </c>
      <c r="D29" s="1697" t="s">
        <v>5120</v>
      </c>
      <c r="E29" s="1697" t="s">
        <v>5103</v>
      </c>
      <c r="F29" s="1697" t="s">
        <v>28</v>
      </c>
      <c r="G29" s="1697" t="s">
        <v>28</v>
      </c>
      <c r="H29" s="1697" t="s">
        <v>28</v>
      </c>
      <c r="I29" s="1697" t="s">
        <v>28</v>
      </c>
    </row>
    <row customHeight="1" ht="11.25">
      <c r="A30" s="1697" t="s">
        <v>1616</v>
      </c>
      <c r="B30" s="1697" t="s">
        <v>5144</v>
      </c>
      <c r="C30" s="1697" t="s">
        <v>28</v>
      </c>
      <c r="D30" s="1697" t="s">
        <v>5120</v>
      </c>
      <c r="E30" s="1697" t="s">
        <v>5103</v>
      </c>
      <c r="F30" s="1697" t="s">
        <v>28</v>
      </c>
      <c r="G30" s="1697" t="s">
        <v>28</v>
      </c>
      <c r="H30" s="1697" t="s">
        <v>28</v>
      </c>
      <c r="I30" s="1697" t="s">
        <v>28</v>
      </c>
    </row>
    <row customHeight="1" ht="11.25">
      <c r="A31" s="1697" t="s">
        <v>1622</v>
      </c>
      <c r="B31" s="1697" t="s">
        <v>5145</v>
      </c>
      <c r="C31" s="1697" t="s">
        <v>28</v>
      </c>
      <c r="D31" s="1697" t="s">
        <v>5126</v>
      </c>
      <c r="E31" s="1697" t="s">
        <v>5103</v>
      </c>
      <c r="F31" s="1697" t="s">
        <v>28</v>
      </c>
      <c r="G31" s="1697" t="s">
        <v>28</v>
      </c>
      <c r="H31" s="1697" t="s">
        <v>28</v>
      </c>
      <c r="I31" s="1697" t="s">
        <v>28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6F08C7-407F-3CDE-9669-F9C1FC0E355D}"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982124-3532-2766-D911-36433CF33BDC}"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48.00390625" customWidth="1"/>
    <col min="6" max="6" style="1641" width="38.00390625" customWidth="1"/>
    <col min="7" max="7" style="1641" width="1.7109375" hidden="1" customWidth="1"/>
    <col min="8" max="11" style="1641" width="19.8515625" hidden="1" customWidth="1"/>
    <col min="12" max="12" style="1641" width="9.7109375" hidden="1" customWidth="1"/>
    <col min="13" max="18" style="1641" width="19.8515625" hidden="1" customWidth="1"/>
    <col min="19" max="19" style="1641" width="1.7109375" hidden="1" customWidth="1"/>
    <col min="20" max="22" style="1641" width="19.8515625" hidden="1" customWidth="1"/>
    <col min="23" max="23" style="1641" width="1.7109375" hidden="1" customWidth="1"/>
    <col min="24" max="26" style="1641" width="19.8515625" customWidth="1"/>
    <col min="27" max="27" style="1641" width="1.7109375" hidden="1" customWidth="1"/>
    <col min="28" max="29" style="1641" width="19.8515625" hidden="1" customWidth="1"/>
    <col min="30" max="30" style="1641" width="1.7109375" hidden="1" customWidth="1"/>
    <col min="31" max="32" style="1641" width="103.7109375" hidden="1" customWidth="1"/>
    <col min="33" max="33" style="1641" width="103.7109375" customWidth="1"/>
    <col min="34" max="34" style="1641" width="103.7109375" hidden="1" customWidth="1"/>
    <col min="35" max="35" style="1825" width="3.00390625" customWidth="1"/>
    <col min="36" max="38" style="1648" width="10.00390625" customWidth="1"/>
    <col min="39" max="39" style="1648" width="13.7109375" hidden="1" customWidth="1"/>
    <col min="40" max="40" style="1648" width="15.00390625" customWidth="1"/>
    <col min="41" max="41" style="1648" width="16.00390625" customWidth="1"/>
    <col min="42" max="45" style="1648" width="10.00390625" customWidth="1"/>
    <col min="46" max="46" style="1641" width="10.57421875" hidden="1"/>
  </cols>
  <sheetData>
    <row customHeight="1" ht="22.5" hidden="1">
      <c r="E1" s="418"/>
      <c r="F1" s="418"/>
      <c r="G1" s="418"/>
      <c r="H1" s="2223" t="s">
        <v>368</v>
      </c>
      <c r="I1" s="2223"/>
      <c r="J1" s="2223"/>
      <c r="K1" s="2223"/>
      <c r="L1" s="2223"/>
      <c r="M1" s="2223"/>
      <c r="N1" s="2223"/>
      <c r="O1" s="2223"/>
      <c r="P1" s="2223"/>
      <c r="Q1" s="2223"/>
      <c r="R1" s="2223"/>
      <c r="T1" s="2223" t="s">
        <v>369</v>
      </c>
      <c r="U1" s="2223"/>
      <c r="V1" s="2223"/>
      <c r="X1" s="2223" t="s">
        <v>370</v>
      </c>
      <c r="Y1" s="2223"/>
      <c r="Z1" s="2223"/>
      <c r="AB1" s="2223" t="s">
        <v>371</v>
      </c>
      <c r="AC1" s="2223"/>
      <c r="AT1" s="453" t="s">
        <v>14</v>
      </c>
    </row>
    <row customHeight="1" ht="14.25" hidden="1">
      <c r="AT2" s="453">
        <v>0</v>
      </c>
    </row>
    <row s="1619" customFormat="1" customHeight="1" ht="5.25">
      <c r="C3" s="707"/>
      <c r="D3" s="708"/>
      <c r="E3" s="708"/>
      <c r="F3" s="708"/>
      <c r="G3" s="708"/>
      <c r="H3" s="708" t="s">
        <v>372</v>
      </c>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J3" s="517"/>
      <c r="AK3" s="517"/>
      <c r="AL3" s="517"/>
      <c r="AM3" s="517"/>
      <c r="AN3" s="517"/>
      <c r="AO3" s="517"/>
      <c r="AP3" s="517"/>
      <c r="AQ3" s="517"/>
      <c r="AR3" s="517"/>
      <c r="AS3" s="517"/>
      <c r="AT3" s="706">
        <v>5</v>
      </c>
    </row>
    <row customHeight="1" ht="39.75">
      <c r="C4" s="456"/>
      <c r="D4" s="2163" t="str">
        <f>ORG_VD_NAME_FORM</f>
        <v>Форма 1. Информация об организации, осуществляющей холодное водоснабжение (общая информация)</v>
      </c>
      <c r="E4" s="2164"/>
      <c r="F4" s="2164"/>
      <c r="G4" s="2164"/>
      <c r="H4" s="2164"/>
      <c r="I4" s="2164"/>
      <c r="J4" s="2164"/>
      <c r="K4" s="2164"/>
      <c r="L4" s="2164"/>
      <c r="M4" s="2164"/>
      <c r="N4" s="2164"/>
      <c r="O4" s="2164"/>
      <c r="P4" s="2164"/>
      <c r="Q4" s="2164"/>
      <c r="R4" s="2165"/>
      <c r="S4" s="859"/>
      <c r="T4" s="705"/>
      <c r="U4" s="705"/>
      <c r="V4" s="705"/>
      <c r="W4" s="705"/>
      <c r="X4" s="705"/>
      <c r="Y4" s="705"/>
      <c r="Z4" s="705"/>
      <c r="AA4" s="705"/>
      <c r="AB4" s="705"/>
      <c r="AC4" s="705"/>
      <c r="AD4" s="705"/>
      <c r="AE4" s="497"/>
      <c r="AF4" s="497"/>
      <c r="AG4" s="497"/>
      <c r="AH4" s="497"/>
      <c r="AI4" s="494"/>
      <c r="AT4" s="453">
        <v>38</v>
      </c>
    </row>
    <row s="1641" customFormat="1" customHeight="1" ht="18">
      <c r="A5" s="765"/>
      <c r="C5" s="828"/>
      <c r="D5" s="2220" t="str">
        <f>IF(org=0,"Не определено",org)</f>
        <v>АО «ДГК» СП «Нерюнгринская ГРЭС»</v>
      </c>
      <c r="E5" s="2221"/>
      <c r="F5" s="2221"/>
      <c r="G5" s="2221"/>
      <c r="H5" s="2221"/>
      <c r="I5" s="2221"/>
      <c r="J5" s="2221"/>
      <c r="K5" s="2221"/>
      <c r="L5" s="2221"/>
      <c r="M5" s="2221"/>
      <c r="N5" s="2221"/>
      <c r="O5" s="2221"/>
      <c r="P5" s="2221"/>
      <c r="Q5" s="2221"/>
      <c r="R5" s="2222"/>
      <c r="S5" s="859"/>
      <c r="T5" s="705"/>
      <c r="U5" s="705"/>
      <c r="V5" s="705"/>
      <c r="W5" s="705"/>
      <c r="X5" s="705"/>
      <c r="Y5" s="705"/>
      <c r="Z5" s="705"/>
      <c r="AA5" s="705"/>
      <c r="AB5" s="705"/>
      <c r="AC5" s="705"/>
      <c r="AD5" s="705"/>
      <c r="AE5" s="497"/>
      <c r="AF5" s="497"/>
      <c r="AG5" s="497"/>
      <c r="AH5" s="497"/>
      <c r="AI5" s="494"/>
      <c r="AJ5" s="517"/>
      <c r="AK5" s="517"/>
      <c r="AL5" s="517"/>
      <c r="AM5" s="517"/>
      <c r="AN5" s="517"/>
      <c r="AO5" s="517"/>
      <c r="AP5" s="517"/>
      <c r="AQ5" s="517"/>
      <c r="AR5" s="517"/>
      <c r="AS5" s="517"/>
      <c r="AT5" s="764">
        <v>17</v>
      </c>
    </row>
    <row s="1618" customFormat="1" customHeight="1" ht="11.549999999999999">
      <c r="A6" s="485"/>
      <c r="C6" s="492"/>
      <c r="D6" s="491"/>
      <c r="E6" s="491"/>
      <c r="F6" s="491"/>
      <c r="G6" s="491"/>
      <c r="H6" s="491"/>
      <c r="I6" s="491"/>
      <c r="J6" s="491"/>
      <c r="K6" s="491"/>
      <c r="L6" s="491"/>
      <c r="M6" s="491"/>
      <c r="N6" s="491"/>
      <c r="O6" s="491"/>
      <c r="P6" s="491"/>
      <c r="Q6" s="491"/>
      <c r="R6" s="758"/>
      <c r="S6" s="758"/>
      <c r="T6" s="491"/>
      <c r="U6" s="491"/>
      <c r="V6" s="718"/>
      <c r="W6" s="718"/>
      <c r="X6" s="491"/>
      <c r="Y6" s="491"/>
      <c r="Z6" s="718"/>
      <c r="AA6" s="718"/>
      <c r="AB6" s="491"/>
      <c r="AC6" s="718"/>
      <c r="AD6" s="718"/>
      <c r="AE6" s="491"/>
      <c r="AF6" s="491"/>
      <c r="AG6" s="491"/>
      <c r="AH6" s="491"/>
      <c r="AJ6" s="495"/>
      <c r="AK6" s="495"/>
      <c r="AL6" s="495"/>
      <c r="AM6" s="495"/>
      <c r="AN6" s="495"/>
      <c r="AO6" s="495"/>
      <c r="AP6" s="495"/>
      <c r="AQ6" s="495"/>
      <c r="AR6" s="495"/>
      <c r="AS6" s="495"/>
      <c r="AT6" s="486">
        <v>11</v>
      </c>
    </row>
    <row customHeight="1" ht="14.699999999999998">
      <c r="C7" s="456"/>
      <c r="D7" s="2224" t="s">
        <v>316</v>
      </c>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6"/>
      <c r="AE7" s="2229" t="s">
        <v>317</v>
      </c>
      <c r="AF7" s="2229" t="s">
        <v>317</v>
      </c>
      <c r="AG7" s="2229" t="s">
        <v>317</v>
      </c>
      <c r="AH7" s="2229" t="s">
        <v>317</v>
      </c>
      <c r="AT7" s="453">
        <v>14</v>
      </c>
    </row>
    <row customHeight="1" ht="27.299999999999997">
      <c r="C8" s="456"/>
      <c r="D8" s="2133" t="s">
        <v>89</v>
      </c>
      <c r="E8" s="2229" t="str">
        <f>"Наименование "&amp;IF(TEMPLATE_SPHERE&lt;&gt;"HEAT","централизованной ","")&amp;"системы "&amp;TEMPLATE_SPHERE_RUS</f>
        <v>Наименование централизованной системы холодного водоснабжения</v>
      </c>
      <c r="F8" s="2229" t="str">
        <f>IF(TEMPLATE_SPHERE&lt;&gt;"HEAT","Регулируемый вид деятельности","Вид регулируемой деятельности")</f>
        <v>Регулируемый вид деятельности</v>
      </c>
      <c r="G8" s="834"/>
      <c r="H8" s="2230" t="s">
        <v>373</v>
      </c>
      <c r="I8" s="2232" t="s">
        <v>374</v>
      </c>
      <c r="J8" s="2229" t="s">
        <v>375</v>
      </c>
      <c r="K8" s="2229"/>
      <c r="L8" s="2229"/>
      <c r="M8" s="2224"/>
      <c r="N8" s="2229" t="s">
        <v>376</v>
      </c>
      <c r="O8" s="2229"/>
      <c r="P8" s="2229" t="s">
        <v>377</v>
      </c>
      <c r="Q8" s="2229"/>
      <c r="R8" s="2236" t="s">
        <v>378</v>
      </c>
      <c r="S8" s="830"/>
      <c r="T8" s="2234" t="s">
        <v>379</v>
      </c>
      <c r="U8" s="2234" t="s">
        <v>380</v>
      </c>
      <c r="V8" s="2234" t="s">
        <v>381</v>
      </c>
      <c r="W8" s="832"/>
      <c r="X8" s="2234" t="s">
        <v>382</v>
      </c>
      <c r="Y8" s="2234" t="s">
        <v>383</v>
      </c>
      <c r="Z8" s="2234" t="s">
        <v>384</v>
      </c>
      <c r="AA8" s="832"/>
      <c r="AB8" s="2234" t="s">
        <v>385</v>
      </c>
      <c r="AC8" s="2234" t="s">
        <v>378</v>
      </c>
      <c r="AD8" s="832"/>
      <c r="AE8" s="2229"/>
      <c r="AF8" s="2229"/>
      <c r="AG8" s="2229"/>
      <c r="AH8" s="2229"/>
      <c r="AT8" s="453">
        <v>26</v>
      </c>
    </row>
    <row customHeight="1" ht="46.199999999999996">
      <c r="C9" s="456"/>
      <c r="D9" s="2133"/>
      <c r="E9" s="2229"/>
      <c r="F9" s="2229"/>
      <c r="G9" s="835"/>
      <c r="H9" s="2231"/>
      <c r="I9" s="2233"/>
      <c r="J9" s="431" t="s">
        <v>386</v>
      </c>
      <c r="K9" s="431" t="s">
        <v>387</v>
      </c>
      <c r="L9" s="431" t="s">
        <v>388</v>
      </c>
      <c r="M9" s="437" t="s">
        <v>389</v>
      </c>
      <c r="N9" s="431" t="s">
        <v>390</v>
      </c>
      <c r="O9" s="431" t="s">
        <v>389</v>
      </c>
      <c r="P9" s="431" t="s">
        <v>391</v>
      </c>
      <c r="Q9" s="431" t="s">
        <v>389</v>
      </c>
      <c r="R9" s="2237"/>
      <c r="S9" s="831"/>
      <c r="T9" s="2235"/>
      <c r="U9" s="2235"/>
      <c r="V9" s="2235"/>
      <c r="W9" s="833"/>
      <c r="X9" s="2235"/>
      <c r="Y9" s="2235"/>
      <c r="Z9" s="2235"/>
      <c r="AA9" s="833"/>
      <c r="AB9" s="2235"/>
      <c r="AC9" s="2235"/>
      <c r="AD9" s="833"/>
      <c r="AE9" s="2229"/>
      <c r="AF9" s="2229"/>
      <c r="AG9" s="2229"/>
      <c r="AH9" s="2229"/>
      <c r="AT9" s="453">
        <v>44</v>
      </c>
    </row>
    <row customHeight="1" ht="12" hidden="1">
      <c r="C10" s="49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3"/>
      <c r="AP10" s="506"/>
      <c r="AQ10" s="506"/>
      <c r="AT10" s="453">
        <v>0</v>
      </c>
    </row>
    <row s="1647" customFormat="1" customHeight="1" ht="11.25" hidden="1">
      <c r="C11" s="504"/>
      <c r="D11" s="505" t="s">
        <v>392</v>
      </c>
      <c r="E11" s="505"/>
      <c r="F11" s="505"/>
      <c r="G11" s="505"/>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441"/>
      <c r="AF11" s="441"/>
      <c r="AG11" s="441"/>
      <c r="AH11" s="441"/>
      <c r="AJ11" s="495"/>
      <c r="AK11" s="495"/>
      <c r="AL11" s="495"/>
      <c r="AM11" s="495"/>
      <c r="AN11" s="495"/>
      <c r="AO11" s="495"/>
      <c r="AP11" s="495"/>
      <c r="AQ11" s="495"/>
      <c r="AR11" s="495"/>
      <c r="AS11" s="495"/>
      <c r="AT11" s="502">
        <v>0</v>
      </c>
    </row>
    <row customHeight="1" ht="14.699999999999998">
      <c r="A12" s="453"/>
      <c r="C12" s="456"/>
      <c r="D12" s="440" t="s">
        <v>111</v>
      </c>
      <c r="E12" s="1783" t="s">
        <v>28</v>
      </c>
      <c r="F12" s="861"/>
      <c r="G12" s="862"/>
      <c r="H12" s="1784"/>
      <c r="I12" s="1784"/>
      <c r="J12" s="439"/>
      <c r="K12" s="1869"/>
      <c r="L12" s="438"/>
      <c r="M12" s="1869"/>
      <c r="N12" s="439"/>
      <c r="O12" s="1869"/>
      <c r="P12" s="439"/>
      <c r="Q12" s="1869"/>
      <c r="R12" s="439"/>
      <c r="S12" s="860"/>
      <c r="T12" s="1784"/>
      <c r="U12" s="439"/>
      <c r="V12" s="439"/>
      <c r="W12" s="833"/>
      <c r="X12" s="1784"/>
      <c r="Y12" s="439"/>
      <c r="Z12" s="439"/>
      <c r="AA12" s="833"/>
      <c r="AB12" s="1784"/>
      <c r="AC12" s="439"/>
      <c r="AD12" s="833"/>
      <c r="AE12" s="2227" t="s">
        <v>393</v>
      </c>
      <c r="AF12" s="2227" t="s">
        <v>394</v>
      </c>
      <c r="AG12" s="2227" t="s">
        <v>395</v>
      </c>
      <c r="AH12" s="2227" t="s">
        <v>396</v>
      </c>
      <c r="AI12" s="453"/>
      <c r="AM12" s="517"/>
      <c r="AP12" s="506" t="s">
        <v>397</v>
      </c>
      <c r="AQ12" s="506" t="s">
        <v>397</v>
      </c>
      <c r="AT12" s="453">
        <v>14</v>
      </c>
    </row>
    <row customHeight="1" ht="18">
      <c r="A13" s="453"/>
      <c r="C13" s="456"/>
      <c r="D13" s="411"/>
      <c r="E13" s="875" t="str">
        <f>IF(TITLE_DIFFERENTIATION_TYPE="нет","","Добавить систему")</f>
        <v/>
      </c>
      <c r="F13" s="875" t="str">
        <f>IF(TITLE_DIFFERENTIATION_TYPE="нет","Добавить вид деятельности","")</f>
        <v>Добавить вид деятельности</v>
      </c>
      <c r="G13" s="319"/>
      <c r="H13" s="412"/>
      <c r="I13" s="412"/>
      <c r="J13" s="412"/>
      <c r="K13" s="412"/>
      <c r="L13" s="412"/>
      <c r="M13" s="412"/>
      <c r="N13" s="412"/>
      <c r="O13" s="412"/>
      <c r="P13" s="412"/>
      <c r="Q13" s="412"/>
      <c r="R13" s="412"/>
      <c r="S13" s="412"/>
      <c r="T13" s="412"/>
      <c r="U13" s="412"/>
      <c r="V13" s="412"/>
      <c r="W13" s="412"/>
      <c r="X13" s="412"/>
      <c r="Y13" s="412"/>
      <c r="Z13" s="412"/>
      <c r="AA13" s="412"/>
      <c r="AB13" s="412"/>
      <c r="AC13" s="412"/>
      <c r="AD13" s="863"/>
      <c r="AE13" s="2228"/>
      <c r="AF13" s="2228"/>
      <c r="AG13" s="2228"/>
      <c r="AH13" s="2228"/>
      <c r="AI13" s="453"/>
      <c r="AT13" s="453">
        <v>17</v>
      </c>
    </row>
    <row customHeight="1" ht="14.699999999999998">
      <c r="AI14" s="453"/>
      <c r="AT14" s="453">
        <v>14</v>
      </c>
    </row>
    <row customHeight="1" ht="14.699999999999998">
      <c r="E15" s="764"/>
      <c r="L15" s="764"/>
      <c r="AT15" s="453">
        <v>14</v>
      </c>
    </row>
    <row customHeight="1" ht="14.699999999999998">
      <c r="L16" s="764"/>
      <c r="AT16" s="453">
        <v>14</v>
      </c>
    </row>
    <row customHeight="1" ht="14.699999999999998">
      <c r="L17" s="764"/>
      <c r="AT17" s="453">
        <v>14</v>
      </c>
    </row>
    <row customHeight="1" ht="22.5" hidden="1">
      <c r="A18" s="455" t="s">
        <v>83</v>
      </c>
      <c r="B18" s="453">
        <v>0</v>
      </c>
      <c r="C18" s="457">
        <v>3</v>
      </c>
      <c r="D18" s="453">
        <v>5</v>
      </c>
      <c r="E18" s="453">
        <v>48</v>
      </c>
      <c r="F18" s="453">
        <v>38</v>
      </c>
      <c r="G18" s="764">
        <v>0</v>
      </c>
      <c r="H18" s="453">
        <v>0</v>
      </c>
      <c r="I18" s="453">
        <v>0</v>
      </c>
      <c r="J18" s="453">
        <v>0</v>
      </c>
      <c r="K18" s="453">
        <v>0</v>
      </c>
      <c r="L18" s="453">
        <v>0</v>
      </c>
      <c r="M18" s="453">
        <v>0</v>
      </c>
      <c r="N18" s="453">
        <v>0</v>
      </c>
      <c r="O18" s="453">
        <v>0</v>
      </c>
      <c r="P18" s="453">
        <v>0</v>
      </c>
      <c r="Q18" s="453">
        <v>0</v>
      </c>
      <c r="R18" s="453">
        <v>0</v>
      </c>
      <c r="S18" s="764">
        <v>0</v>
      </c>
      <c r="T18" s="511">
        <v>0</v>
      </c>
      <c r="U18" s="511">
        <v>0</v>
      </c>
      <c r="V18" s="511">
        <v>0</v>
      </c>
      <c r="W18" s="764">
        <v>0</v>
      </c>
      <c r="X18" s="511">
        <v>0</v>
      </c>
      <c r="Y18" s="511">
        <v>0</v>
      </c>
      <c r="Z18" s="511">
        <v>0</v>
      </c>
      <c r="AA18" s="764">
        <v>0</v>
      </c>
      <c r="AB18" s="511">
        <v>0</v>
      </c>
      <c r="AC18" s="511">
        <v>0</v>
      </c>
      <c r="AD18" s="764">
        <v>0</v>
      </c>
      <c r="AE18" s="453">
        <v>0</v>
      </c>
      <c r="AF18" s="511">
        <v>0</v>
      </c>
      <c r="AG18" s="511">
        <v>0</v>
      </c>
      <c r="AH18" s="511">
        <v>0</v>
      </c>
      <c r="AI18" s="458">
        <v>3</v>
      </c>
      <c r="AJ18" s="495">
        <v>10</v>
      </c>
      <c r="AK18" s="495">
        <v>10</v>
      </c>
      <c r="AL18" s="495">
        <v>10</v>
      </c>
      <c r="AM18" s="495">
        <v>0</v>
      </c>
      <c r="AN18" s="495">
        <v>15</v>
      </c>
      <c r="AO18" s="495">
        <v>16</v>
      </c>
      <c r="AP18" s="495">
        <v>10</v>
      </c>
      <c r="AQ18" s="495">
        <v>10</v>
      </c>
      <c r="AR18" s="495">
        <v>10</v>
      </c>
      <c r="AS18" s="495">
        <v>10</v>
      </c>
      <c r="AT18" s="453">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5182CC-318D-2581-DF5F-A1AF67AC4638}"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89" width="9.140625"/>
  </cols>
  <sheetData>
    <row customHeight="1" ht="11.25">
      <c r="A1" s="189" t="s">
        <v>132</v>
      </c>
      <c r="B1" s="189" t="s">
        <v>5146</v>
      </c>
    </row>
    <row customHeight="1" ht="11.25">
      <c r="A2" s="189" t="s">
        <v>99</v>
      </c>
      <c r="B2" s="189" t="s">
        <v>5147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96FBC4-9435-030C-DF05-77D68E5B9FC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5148</v>
      </c>
      <c r="B1" s="841" t="s">
        <v>5149</v>
      </c>
    </row>
    <row customHeight="1" ht="11.25">
      <c r="A2" s="841">
        <v>4213775</v>
      </c>
      <c r="B2" s="841" t="s">
        <v>1265</v>
      </c>
    </row>
    <row customHeight="1" ht="11.25">
      <c r="A3" s="841">
        <v>4213784</v>
      </c>
      <c r="B3" s="841" t="s">
        <v>1299</v>
      </c>
    </row>
    <row customHeight="1" ht="11.25">
      <c r="A4" s="841">
        <v>4213781</v>
      </c>
      <c r="B4" s="841" t="s">
        <v>1292</v>
      </c>
    </row>
    <row customHeight="1" ht="11.25">
      <c r="A5" s="841">
        <v>4213776</v>
      </c>
      <c r="B5" s="841" t="s">
        <v>168</v>
      </c>
    </row>
    <row customHeight="1" ht="11.25">
      <c r="A6" s="841">
        <v>4213777</v>
      </c>
      <c r="B6" s="841" t="s">
        <v>174</v>
      </c>
    </row>
    <row customHeight="1" ht="11.25">
      <c r="A7" s="841">
        <v>4213778</v>
      </c>
      <c r="B7" s="841" t="s">
        <v>180</v>
      </c>
    </row>
    <row customHeight="1" ht="11.25">
      <c r="A8" s="841">
        <v>4213780</v>
      </c>
      <c r="B8" s="841" t="s">
        <v>186</v>
      </c>
    </row>
    <row customHeight="1" ht="11.25">
      <c r="A9" s="841">
        <v>4213779</v>
      </c>
      <c r="B9" s="841" t="s">
        <v>1428</v>
      </c>
    </row>
    <row customHeight="1" ht="11.25">
      <c r="A10" s="841">
        <v>4213783</v>
      </c>
      <c r="B10" s="841" t="s">
        <v>1443</v>
      </c>
    </row>
    <row customHeight="1" ht="11.25">
      <c r="A11" s="841">
        <v>4213782</v>
      </c>
      <c r="B11" s="841" t="s">
        <v>192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C06DA6-09CE-DE54-4BB2-A7AD85EB316F}"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5148</v>
      </c>
      <c r="B1" s="841" t="s">
        <v>5150</v>
      </c>
    </row>
    <row customHeight="1" ht="11.25">
      <c r="A2" s="841" t="s">
        <v>5151</v>
      </c>
      <c r="B2" s="841" t="s">
        <v>1542</v>
      </c>
    </row>
    <row customHeight="1" ht="11.25">
      <c r="A3" s="841" t="s">
        <v>5152</v>
      </c>
      <c r="B3" s="841" t="s">
        <v>1552</v>
      </c>
    </row>
    <row customHeight="1" ht="11.25">
      <c r="A4" s="841" t="s">
        <v>5153</v>
      </c>
      <c r="B4" s="841" t="s">
        <v>1561</v>
      </c>
    </row>
    <row customHeight="1" ht="11.25">
      <c r="A5" s="841" t="s">
        <v>5154</v>
      </c>
      <c r="B5" s="841" t="s">
        <v>1570</v>
      </c>
    </row>
    <row customHeight="1" ht="11.25">
      <c r="A6" s="841" t="s">
        <v>5155</v>
      </c>
      <c r="B6" s="841" t="s">
        <v>1576</v>
      </c>
    </row>
    <row customHeight="1" ht="11.25">
      <c r="A7" s="841" t="s">
        <v>5156</v>
      </c>
      <c r="B7" s="841" t="s">
        <v>1584</v>
      </c>
    </row>
    <row customHeight="1" ht="11.25">
      <c r="A8" s="841" t="s">
        <v>5157</v>
      </c>
      <c r="B8" s="841" t="s">
        <v>1591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25A93E-4913-4172-330B-334052A4B95F}" mc:Ignorable="x14ac xr xr2 xr3">
  <sheetPr>
    <tabColor rgb="FFFFCC99"/>
  </sheetPr>
  <dimension ref="A1:G455"/>
  <sheetViews>
    <sheetView topLeftCell="A1" showGridLines="0" workbookViewId="0">
      <selection activeCell="A1" sqref="A1"/>
    </sheetView>
  </sheetViews>
  <sheetFormatPr customHeight="1" defaultRowHeight="11.25"/>
  <sheetData>
    <row customHeight="1" ht="11.25">
      <c r="A1" s="379" t="s">
        <v>3797</v>
      </c>
      <c r="B1" s="379" t="s">
        <v>3798</v>
      </c>
      <c r="C1" s="379" t="s">
        <v>3799</v>
      </c>
      <c r="D1" s="379" t="s">
        <v>3800</v>
      </c>
      <c r="E1" s="0" t="s">
        <v>3801</v>
      </c>
      <c r="F1" s="0" t="s">
        <v>3802</v>
      </c>
      <c r="G1" s="0" t="s">
        <v>3803</v>
      </c>
    </row>
    <row customHeight="1" ht="11.25">
      <c r="A2" s="0" t="s">
        <v>16</v>
      </c>
      <c r="B2" s="0" t="s">
        <v>3804</v>
      </c>
      <c r="C2" s="0" t="s">
        <v>3805</v>
      </c>
      <c r="D2" s="0" t="s">
        <v>3804</v>
      </c>
      <c r="E2" s="0" t="s">
        <v>3805</v>
      </c>
      <c r="F2" s="0" t="s">
        <v>3806</v>
      </c>
      <c r="G2" s="0" t="s">
        <v>111</v>
      </c>
    </row>
    <row customHeight="1" ht="11.25">
      <c r="A3" s="0" t="s">
        <v>16</v>
      </c>
      <c r="B3" s="0" t="s">
        <v>3804</v>
      </c>
      <c r="C3" s="0" t="s">
        <v>3805</v>
      </c>
      <c r="D3" s="0" t="s">
        <v>3807</v>
      </c>
      <c r="E3" s="0" t="s">
        <v>3808</v>
      </c>
      <c r="F3" s="0" t="s">
        <v>3809</v>
      </c>
      <c r="G3" s="0" t="s">
        <v>112</v>
      </c>
    </row>
    <row customHeight="1" ht="11.25">
      <c r="A4" s="0" t="s">
        <v>16</v>
      </c>
      <c r="B4" s="0" t="s">
        <v>3804</v>
      </c>
      <c r="C4" s="0" t="s">
        <v>3805</v>
      </c>
      <c r="D4" s="0" t="s">
        <v>3810</v>
      </c>
      <c r="E4" s="0" t="s">
        <v>3811</v>
      </c>
      <c r="F4" s="0" t="s">
        <v>3809</v>
      </c>
      <c r="G4" s="0" t="s">
        <v>91</v>
      </c>
    </row>
    <row customHeight="1" ht="11.25">
      <c r="A5" s="0" t="s">
        <v>16</v>
      </c>
      <c r="B5" s="0" t="s">
        <v>3804</v>
      </c>
      <c r="C5" s="0" t="s">
        <v>3805</v>
      </c>
      <c r="D5" s="0" t="s">
        <v>3812</v>
      </c>
      <c r="E5" s="0" t="s">
        <v>3813</v>
      </c>
      <c r="F5" s="0" t="s">
        <v>3809</v>
      </c>
      <c r="G5" s="0" t="s">
        <v>92</v>
      </c>
    </row>
    <row customHeight="1" ht="11.25">
      <c r="A6" s="0" t="s">
        <v>16</v>
      </c>
      <c r="B6" s="0" t="s">
        <v>3804</v>
      </c>
      <c r="C6" s="0" t="s">
        <v>3805</v>
      </c>
      <c r="D6" s="0" t="s">
        <v>3814</v>
      </c>
      <c r="E6" s="0" t="s">
        <v>3815</v>
      </c>
      <c r="F6" s="0" t="s">
        <v>3816</v>
      </c>
      <c r="G6" s="0" t="s">
        <v>113</v>
      </c>
    </row>
    <row customHeight="1" ht="11.25">
      <c r="A7" s="0" t="s">
        <v>16</v>
      </c>
      <c r="B7" s="0" t="s">
        <v>3804</v>
      </c>
      <c r="C7" s="0" t="s">
        <v>3805</v>
      </c>
      <c r="D7" s="0" t="s">
        <v>3817</v>
      </c>
      <c r="E7" s="0" t="s">
        <v>3818</v>
      </c>
      <c r="F7" s="0" t="s">
        <v>3809</v>
      </c>
      <c r="G7" s="0" t="s">
        <v>93</v>
      </c>
    </row>
    <row customHeight="1" ht="11.25">
      <c r="A8" s="0" t="s">
        <v>16</v>
      </c>
      <c r="B8" s="0" t="s">
        <v>3804</v>
      </c>
      <c r="C8" s="0" t="s">
        <v>3805</v>
      </c>
      <c r="D8" s="0" t="s">
        <v>3819</v>
      </c>
      <c r="E8" s="0" t="s">
        <v>3820</v>
      </c>
      <c r="F8" s="0" t="s">
        <v>3809</v>
      </c>
      <c r="G8" s="0" t="s">
        <v>94</v>
      </c>
    </row>
    <row customHeight="1" ht="11.25">
      <c r="A9" s="0" t="s">
        <v>16</v>
      </c>
      <c r="B9" s="0" t="s">
        <v>3821</v>
      </c>
      <c r="C9" s="0" t="s">
        <v>3822</v>
      </c>
      <c r="D9" s="0" t="s">
        <v>3821</v>
      </c>
      <c r="E9" s="0" t="s">
        <v>3822</v>
      </c>
      <c r="F9" s="0" t="s">
        <v>3806</v>
      </c>
      <c r="G9" s="0" t="s">
        <v>114</v>
      </c>
    </row>
    <row customHeight="1" ht="11.25">
      <c r="A10" s="0" t="s">
        <v>16</v>
      </c>
      <c r="B10" s="0" t="s">
        <v>3821</v>
      </c>
      <c r="C10" s="0" t="s">
        <v>3822</v>
      </c>
      <c r="D10" s="0" t="s">
        <v>3823</v>
      </c>
      <c r="E10" s="0" t="s">
        <v>3824</v>
      </c>
      <c r="F10" s="0" t="s">
        <v>3809</v>
      </c>
      <c r="G10" s="0" t="s">
        <v>150</v>
      </c>
    </row>
    <row customHeight="1" ht="11.25">
      <c r="A11" s="0" t="s">
        <v>16</v>
      </c>
      <c r="B11" s="0" t="s">
        <v>3821</v>
      </c>
      <c r="C11" s="0" t="s">
        <v>3822</v>
      </c>
      <c r="D11" s="0" t="s">
        <v>3825</v>
      </c>
      <c r="E11" s="0" t="s">
        <v>3826</v>
      </c>
      <c r="F11" s="0" t="s">
        <v>3827</v>
      </c>
      <c r="G11" s="0" t="s">
        <v>151</v>
      </c>
    </row>
    <row customHeight="1" ht="11.25">
      <c r="A12" s="0" t="s">
        <v>16</v>
      </c>
      <c r="B12" s="0" t="s">
        <v>3821</v>
      </c>
      <c r="C12" s="0" t="s">
        <v>3822</v>
      </c>
      <c r="D12" s="0" t="s">
        <v>3828</v>
      </c>
      <c r="E12" s="0" t="s">
        <v>3829</v>
      </c>
      <c r="F12" s="0" t="s">
        <v>3827</v>
      </c>
      <c r="G12" s="0" t="s">
        <v>152</v>
      </c>
    </row>
    <row customHeight="1" ht="11.25">
      <c r="A13" s="0" t="s">
        <v>16</v>
      </c>
      <c r="B13" s="0" t="s">
        <v>3821</v>
      </c>
      <c r="C13" s="0" t="s">
        <v>3822</v>
      </c>
      <c r="D13" s="0" t="s">
        <v>3830</v>
      </c>
      <c r="E13" s="0" t="s">
        <v>3831</v>
      </c>
      <c r="F13" s="0" t="s">
        <v>3809</v>
      </c>
      <c r="G13" s="0" t="s">
        <v>153</v>
      </c>
    </row>
    <row customHeight="1" ht="11.25">
      <c r="A14" s="0" t="s">
        <v>16</v>
      </c>
      <c r="B14" s="0" t="s">
        <v>3821</v>
      </c>
      <c r="C14" s="0" t="s">
        <v>3822</v>
      </c>
      <c r="D14" s="0" t="s">
        <v>3832</v>
      </c>
      <c r="E14" s="0" t="s">
        <v>3833</v>
      </c>
      <c r="F14" s="0" t="s">
        <v>3816</v>
      </c>
      <c r="G14" s="0" t="s">
        <v>154</v>
      </c>
    </row>
    <row customHeight="1" ht="11.25">
      <c r="A15" s="0" t="s">
        <v>16</v>
      </c>
      <c r="B15" s="0" t="s">
        <v>3821</v>
      </c>
      <c r="C15" s="0" t="s">
        <v>3822</v>
      </c>
      <c r="D15" s="0" t="s">
        <v>3834</v>
      </c>
      <c r="E15" s="0" t="s">
        <v>3835</v>
      </c>
      <c r="F15" s="0" t="s">
        <v>3816</v>
      </c>
      <c r="G15" s="0" t="s">
        <v>155</v>
      </c>
    </row>
    <row customHeight="1" ht="11.25">
      <c r="A16" s="0" t="s">
        <v>16</v>
      </c>
      <c r="B16" s="0" t="s">
        <v>3821</v>
      </c>
      <c r="C16" s="0" t="s">
        <v>3822</v>
      </c>
      <c r="D16" s="0" t="s">
        <v>3836</v>
      </c>
      <c r="E16" s="0" t="s">
        <v>3837</v>
      </c>
      <c r="F16" s="0" t="s">
        <v>3809</v>
      </c>
      <c r="G16" s="0" t="s">
        <v>1503</v>
      </c>
    </row>
    <row customHeight="1" ht="11.25">
      <c r="A17" s="0" t="s">
        <v>16</v>
      </c>
      <c r="B17" s="0" t="s">
        <v>3838</v>
      </c>
      <c r="C17" s="0" t="s">
        <v>3839</v>
      </c>
      <c r="D17" s="0" t="s">
        <v>3838</v>
      </c>
      <c r="E17" s="0" t="s">
        <v>3839</v>
      </c>
      <c r="F17" s="0" t="s">
        <v>3806</v>
      </c>
      <c r="G17" s="0" t="s">
        <v>1509</v>
      </c>
    </row>
    <row customHeight="1" ht="11.25">
      <c r="A18" s="0" t="s">
        <v>16</v>
      </c>
      <c r="B18" s="0" t="s">
        <v>3838</v>
      </c>
      <c r="C18" s="0" t="s">
        <v>3839</v>
      </c>
      <c r="D18" s="0" t="s">
        <v>3840</v>
      </c>
      <c r="E18" s="0" t="s">
        <v>3841</v>
      </c>
      <c r="F18" s="0" t="s">
        <v>3809</v>
      </c>
      <c r="G18" s="0" t="s">
        <v>1521</v>
      </c>
    </row>
    <row customHeight="1" ht="11.25">
      <c r="A19" s="0" t="s">
        <v>16</v>
      </c>
      <c r="B19" s="0" t="s">
        <v>3838</v>
      </c>
      <c r="C19" s="0" t="s">
        <v>3839</v>
      </c>
      <c r="D19" s="0" t="s">
        <v>3842</v>
      </c>
      <c r="E19" s="0" t="s">
        <v>3843</v>
      </c>
      <c r="F19" s="0" t="s">
        <v>3809</v>
      </c>
      <c r="G19" s="0" t="s">
        <v>1535</v>
      </c>
    </row>
    <row customHeight="1" ht="11.25">
      <c r="A20" s="0" t="s">
        <v>16</v>
      </c>
      <c r="B20" s="0" t="s">
        <v>3838</v>
      </c>
      <c r="C20" s="0" t="s">
        <v>3839</v>
      </c>
      <c r="D20" s="0" t="s">
        <v>3844</v>
      </c>
      <c r="E20" s="0" t="s">
        <v>3845</v>
      </c>
      <c r="F20" s="0" t="s">
        <v>3846</v>
      </c>
      <c r="G20" s="0" t="s">
        <v>1547</v>
      </c>
    </row>
    <row customHeight="1" ht="11.25">
      <c r="A21" s="0" t="s">
        <v>16</v>
      </c>
      <c r="B21" s="0" t="s">
        <v>3838</v>
      </c>
      <c r="C21" s="0" t="s">
        <v>3839</v>
      </c>
      <c r="D21" s="0" t="s">
        <v>3847</v>
      </c>
      <c r="E21" s="0" t="s">
        <v>3848</v>
      </c>
      <c r="F21" s="0" t="s">
        <v>3816</v>
      </c>
      <c r="G21" s="0" t="s">
        <v>1556</v>
      </c>
    </row>
    <row customHeight="1" ht="11.25">
      <c r="A22" s="0" t="s">
        <v>16</v>
      </c>
      <c r="B22" s="0" t="s">
        <v>3838</v>
      </c>
      <c r="C22" s="0" t="s">
        <v>3839</v>
      </c>
      <c r="D22" s="0" t="s">
        <v>3849</v>
      </c>
      <c r="E22" s="0" t="s">
        <v>3850</v>
      </c>
      <c r="F22" s="0" t="s">
        <v>3809</v>
      </c>
      <c r="G22" s="0" t="s">
        <v>1572</v>
      </c>
    </row>
    <row customHeight="1" ht="11.25">
      <c r="A23" s="0" t="s">
        <v>16</v>
      </c>
      <c r="B23" s="0" t="s">
        <v>3838</v>
      </c>
      <c r="C23" s="0" t="s">
        <v>3839</v>
      </c>
      <c r="D23" s="0" t="s">
        <v>3851</v>
      </c>
      <c r="E23" s="0" t="s">
        <v>3852</v>
      </c>
      <c r="F23" s="0" t="s">
        <v>3809</v>
      </c>
      <c r="G23" s="0" t="s">
        <v>1579</v>
      </c>
    </row>
    <row customHeight="1" ht="11.25">
      <c r="A24" s="0" t="s">
        <v>16</v>
      </c>
      <c r="B24" s="0" t="s">
        <v>3853</v>
      </c>
      <c r="C24" s="0" t="s">
        <v>3854</v>
      </c>
      <c r="D24" s="0" t="s">
        <v>3855</v>
      </c>
      <c r="E24" s="0" t="s">
        <v>3856</v>
      </c>
      <c r="F24" s="0" t="s">
        <v>3809</v>
      </c>
      <c r="G24" s="0" t="s">
        <v>1587</v>
      </c>
    </row>
    <row customHeight="1" ht="11.25">
      <c r="A25" s="0" t="s">
        <v>16</v>
      </c>
      <c r="B25" s="0" t="s">
        <v>3853</v>
      </c>
      <c r="C25" s="0" t="s">
        <v>3854</v>
      </c>
      <c r="D25" s="0" t="s">
        <v>3857</v>
      </c>
      <c r="E25" s="0" t="s">
        <v>3858</v>
      </c>
      <c r="F25" s="0" t="s">
        <v>3809</v>
      </c>
      <c r="G25" s="0" t="s">
        <v>1594</v>
      </c>
    </row>
    <row customHeight="1" ht="11.25">
      <c r="A26" s="0" t="s">
        <v>16</v>
      </c>
      <c r="B26" s="0" t="s">
        <v>3853</v>
      </c>
      <c r="C26" s="0" t="s">
        <v>3854</v>
      </c>
      <c r="D26" s="0" t="s">
        <v>3859</v>
      </c>
      <c r="E26" s="0" t="s">
        <v>3860</v>
      </c>
      <c r="F26" s="0" t="s">
        <v>3809</v>
      </c>
      <c r="G26" s="0" t="s">
        <v>1598</v>
      </c>
    </row>
    <row customHeight="1" ht="11.25">
      <c r="A27" s="0" t="s">
        <v>16</v>
      </c>
      <c r="B27" s="0" t="s">
        <v>3853</v>
      </c>
      <c r="C27" s="0" t="s">
        <v>3854</v>
      </c>
      <c r="D27" s="0" t="s">
        <v>3853</v>
      </c>
      <c r="E27" s="0" t="s">
        <v>3854</v>
      </c>
      <c r="F27" s="0" t="s">
        <v>3806</v>
      </c>
      <c r="G27" s="0" t="s">
        <v>1603</v>
      </c>
    </row>
    <row customHeight="1" ht="11.25">
      <c r="A28" s="0" t="s">
        <v>16</v>
      </c>
      <c r="B28" s="0" t="s">
        <v>3853</v>
      </c>
      <c r="C28" s="0" t="s">
        <v>3854</v>
      </c>
      <c r="D28" s="0" t="s">
        <v>3861</v>
      </c>
      <c r="E28" s="0" t="s">
        <v>3862</v>
      </c>
      <c r="F28" s="0" t="s">
        <v>3809</v>
      </c>
      <c r="G28" s="0" t="s">
        <v>1611</v>
      </c>
    </row>
    <row customHeight="1" ht="11.25">
      <c r="A29" s="0" t="s">
        <v>16</v>
      </c>
      <c r="B29" s="0" t="s">
        <v>3853</v>
      </c>
      <c r="C29" s="0" t="s">
        <v>3854</v>
      </c>
      <c r="D29" s="0" t="s">
        <v>3863</v>
      </c>
      <c r="E29" s="0" t="s">
        <v>3864</v>
      </c>
      <c r="F29" s="0" t="s">
        <v>3809</v>
      </c>
      <c r="G29" s="0" t="s">
        <v>1613</v>
      </c>
    </row>
    <row customHeight="1" ht="11.25">
      <c r="A30" s="0" t="s">
        <v>16</v>
      </c>
      <c r="B30" s="0" t="s">
        <v>3853</v>
      </c>
      <c r="C30" s="0" t="s">
        <v>3854</v>
      </c>
      <c r="D30" s="0" t="s">
        <v>3865</v>
      </c>
      <c r="E30" s="0" t="s">
        <v>3866</v>
      </c>
      <c r="F30" s="0" t="s">
        <v>3809</v>
      </c>
      <c r="G30" s="0" t="s">
        <v>1616</v>
      </c>
    </row>
    <row customHeight="1" ht="11.25">
      <c r="A31" s="0" t="s">
        <v>16</v>
      </c>
      <c r="B31" s="0" t="s">
        <v>3853</v>
      </c>
      <c r="C31" s="0" t="s">
        <v>3854</v>
      </c>
      <c r="D31" s="0" t="s">
        <v>3867</v>
      </c>
      <c r="E31" s="0" t="s">
        <v>3868</v>
      </c>
      <c r="F31" s="0" t="s">
        <v>3809</v>
      </c>
      <c r="G31" s="0" t="s">
        <v>1622</v>
      </c>
    </row>
    <row customHeight="1" ht="11.25">
      <c r="A32" s="0" t="s">
        <v>16</v>
      </c>
      <c r="B32" s="0" t="s">
        <v>3853</v>
      </c>
      <c r="C32" s="0" t="s">
        <v>3854</v>
      </c>
      <c r="D32" s="0" t="s">
        <v>3869</v>
      </c>
      <c r="E32" s="0" t="s">
        <v>3870</v>
      </c>
      <c r="F32" s="0" t="s">
        <v>3809</v>
      </c>
      <c r="G32" s="0" t="s">
        <v>1624</v>
      </c>
    </row>
    <row customHeight="1" ht="11.25">
      <c r="A33" s="0" t="s">
        <v>16</v>
      </c>
      <c r="B33" s="0" t="s">
        <v>3853</v>
      </c>
      <c r="C33" s="0" t="s">
        <v>3854</v>
      </c>
      <c r="D33" s="0" t="s">
        <v>3871</v>
      </c>
      <c r="E33" s="0" t="s">
        <v>3872</v>
      </c>
      <c r="F33" s="0" t="s">
        <v>3809</v>
      </c>
      <c r="G33" s="0" t="s">
        <v>1626</v>
      </c>
    </row>
    <row customHeight="1" ht="11.25">
      <c r="A34" s="0" t="s">
        <v>16</v>
      </c>
      <c r="B34" s="0" t="s">
        <v>3853</v>
      </c>
      <c r="C34" s="0" t="s">
        <v>3854</v>
      </c>
      <c r="D34" s="0" t="s">
        <v>3873</v>
      </c>
      <c r="E34" s="0" t="s">
        <v>3874</v>
      </c>
      <c r="F34" s="0" t="s">
        <v>3809</v>
      </c>
      <c r="G34" s="0" t="s">
        <v>1628</v>
      </c>
    </row>
    <row customHeight="1" ht="11.25">
      <c r="A35" s="0" t="s">
        <v>16</v>
      </c>
      <c r="B35" s="0" t="s">
        <v>3853</v>
      </c>
      <c r="C35" s="0" t="s">
        <v>3854</v>
      </c>
      <c r="D35" s="0" t="s">
        <v>3875</v>
      </c>
      <c r="E35" s="0" t="s">
        <v>3876</v>
      </c>
      <c r="F35" s="0" t="s">
        <v>3809</v>
      </c>
      <c r="G35" s="0" t="s">
        <v>1633</v>
      </c>
    </row>
    <row customHeight="1" ht="11.25">
      <c r="A36" s="0" t="s">
        <v>16</v>
      </c>
      <c r="B36" s="0" t="s">
        <v>3853</v>
      </c>
      <c r="C36" s="0" t="s">
        <v>3854</v>
      </c>
      <c r="D36" s="0" t="s">
        <v>3877</v>
      </c>
      <c r="E36" s="0" t="s">
        <v>3878</v>
      </c>
      <c r="F36" s="0" t="s">
        <v>3809</v>
      </c>
      <c r="G36" s="0" t="s">
        <v>1638</v>
      </c>
    </row>
    <row customHeight="1" ht="11.25">
      <c r="A37" s="0" t="s">
        <v>16</v>
      </c>
      <c r="B37" s="0" t="s">
        <v>3853</v>
      </c>
      <c r="C37" s="0" t="s">
        <v>3854</v>
      </c>
      <c r="D37" s="0" t="s">
        <v>3879</v>
      </c>
      <c r="E37" s="0" t="s">
        <v>3880</v>
      </c>
      <c r="F37" s="0" t="s">
        <v>3809</v>
      </c>
      <c r="G37" s="0" t="s">
        <v>1642</v>
      </c>
    </row>
    <row customHeight="1" ht="11.25">
      <c r="A38" s="0" t="s">
        <v>16</v>
      </c>
      <c r="B38" s="0" t="s">
        <v>3853</v>
      </c>
      <c r="C38" s="0" t="s">
        <v>3854</v>
      </c>
      <c r="D38" s="0" t="s">
        <v>3881</v>
      </c>
      <c r="E38" s="0" t="s">
        <v>3882</v>
      </c>
      <c r="F38" s="0" t="s">
        <v>3809</v>
      </c>
      <c r="G38" s="0" t="s">
        <v>1650</v>
      </c>
    </row>
    <row customHeight="1" ht="11.25">
      <c r="A39" s="0" t="s">
        <v>16</v>
      </c>
      <c r="B39" s="0" t="s">
        <v>3883</v>
      </c>
      <c r="C39" s="0" t="s">
        <v>3884</v>
      </c>
      <c r="D39" s="0" t="s">
        <v>3883</v>
      </c>
      <c r="E39" s="0" t="s">
        <v>3884</v>
      </c>
      <c r="F39" s="0" t="s">
        <v>3806</v>
      </c>
      <c r="G39" s="0" t="s">
        <v>1656</v>
      </c>
    </row>
    <row customHeight="1" ht="11.25">
      <c r="A40" s="0" t="s">
        <v>16</v>
      </c>
      <c r="B40" s="0" t="s">
        <v>3883</v>
      </c>
      <c r="C40" s="0" t="s">
        <v>3884</v>
      </c>
      <c r="D40" s="0" t="s">
        <v>3885</v>
      </c>
      <c r="E40" s="0" t="s">
        <v>3886</v>
      </c>
      <c r="F40" s="0" t="s">
        <v>3809</v>
      </c>
      <c r="G40" s="0" t="s">
        <v>1661</v>
      </c>
    </row>
    <row customHeight="1" ht="11.25">
      <c r="A41" s="0" t="s">
        <v>16</v>
      </c>
      <c r="B41" s="0" t="s">
        <v>3883</v>
      </c>
      <c r="C41" s="0" t="s">
        <v>3884</v>
      </c>
      <c r="D41" s="0" t="s">
        <v>3887</v>
      </c>
      <c r="E41" s="0" t="s">
        <v>3888</v>
      </c>
      <c r="F41" s="0" t="s">
        <v>3809</v>
      </c>
      <c r="G41" s="0" t="s">
        <v>1665</v>
      </c>
    </row>
    <row customHeight="1" ht="11.25">
      <c r="A42" s="0" t="s">
        <v>16</v>
      </c>
      <c r="B42" s="0" t="s">
        <v>3889</v>
      </c>
      <c r="C42" s="0" t="s">
        <v>3890</v>
      </c>
      <c r="D42" s="0" t="s">
        <v>3891</v>
      </c>
      <c r="E42" s="0" t="s">
        <v>3892</v>
      </c>
      <c r="F42" s="0" t="s">
        <v>3809</v>
      </c>
      <c r="G42" s="0" t="s">
        <v>1668</v>
      </c>
    </row>
    <row customHeight="1" ht="11.25">
      <c r="A43" s="0" t="s">
        <v>16</v>
      </c>
      <c r="B43" s="0" t="s">
        <v>3889</v>
      </c>
      <c r="C43" s="0" t="s">
        <v>3890</v>
      </c>
      <c r="D43" s="0" t="s">
        <v>3889</v>
      </c>
      <c r="E43" s="0" t="s">
        <v>3890</v>
      </c>
      <c r="F43" s="0" t="s">
        <v>3806</v>
      </c>
      <c r="G43" s="0" t="s">
        <v>1675</v>
      </c>
    </row>
    <row customHeight="1" ht="11.25">
      <c r="A44" s="0" t="s">
        <v>16</v>
      </c>
      <c r="B44" s="0" t="s">
        <v>3889</v>
      </c>
      <c r="C44" s="0" t="s">
        <v>3890</v>
      </c>
      <c r="D44" s="0" t="s">
        <v>3893</v>
      </c>
      <c r="E44" s="0" t="s">
        <v>3894</v>
      </c>
      <c r="F44" s="0" t="s">
        <v>3809</v>
      </c>
      <c r="G44" s="0" t="s">
        <v>1684</v>
      </c>
    </row>
    <row customHeight="1" ht="11.25">
      <c r="A45" s="0" t="s">
        <v>16</v>
      </c>
      <c r="B45" s="0" t="s">
        <v>3889</v>
      </c>
      <c r="C45" s="0" t="s">
        <v>3890</v>
      </c>
      <c r="D45" s="0" t="s">
        <v>3895</v>
      </c>
      <c r="E45" s="0" t="s">
        <v>3896</v>
      </c>
      <c r="F45" s="0" t="s">
        <v>3809</v>
      </c>
      <c r="G45" s="0" t="s">
        <v>1689</v>
      </c>
    </row>
    <row customHeight="1" ht="11.25">
      <c r="A46" s="0" t="s">
        <v>16</v>
      </c>
      <c r="B46" s="0" t="s">
        <v>3889</v>
      </c>
      <c r="C46" s="0" t="s">
        <v>3890</v>
      </c>
      <c r="D46" s="0" t="s">
        <v>3897</v>
      </c>
      <c r="E46" s="0" t="s">
        <v>3898</v>
      </c>
      <c r="F46" s="0" t="s">
        <v>3816</v>
      </c>
      <c r="G46" s="0" t="s">
        <v>1693</v>
      </c>
    </row>
    <row customHeight="1" ht="11.25">
      <c r="A47" s="0" t="s">
        <v>16</v>
      </c>
      <c r="B47" s="0" t="s">
        <v>3889</v>
      </c>
      <c r="C47" s="0" t="s">
        <v>3890</v>
      </c>
      <c r="D47" s="0" t="s">
        <v>3899</v>
      </c>
      <c r="E47" s="0" t="s">
        <v>3900</v>
      </c>
      <c r="F47" s="0" t="s">
        <v>3809</v>
      </c>
      <c r="G47" s="0" t="s">
        <v>1699</v>
      </c>
    </row>
    <row customHeight="1" ht="11.25">
      <c r="A48" s="0" t="s">
        <v>16</v>
      </c>
      <c r="B48" s="0" t="s">
        <v>3889</v>
      </c>
      <c r="C48" s="0" t="s">
        <v>3890</v>
      </c>
      <c r="D48" s="0" t="s">
        <v>3901</v>
      </c>
      <c r="E48" s="0" t="s">
        <v>3902</v>
      </c>
      <c r="F48" s="0" t="s">
        <v>3809</v>
      </c>
      <c r="G48" s="0" t="s">
        <v>1704</v>
      </c>
    </row>
    <row customHeight="1" ht="11.25">
      <c r="A49" s="0" t="s">
        <v>16</v>
      </c>
      <c r="B49" s="0" t="s">
        <v>3889</v>
      </c>
      <c r="C49" s="0" t="s">
        <v>3890</v>
      </c>
      <c r="D49" s="0" t="s">
        <v>3903</v>
      </c>
      <c r="E49" s="0" t="s">
        <v>3904</v>
      </c>
      <c r="F49" s="0" t="s">
        <v>3809</v>
      </c>
      <c r="G49" s="0" t="s">
        <v>1707</v>
      </c>
    </row>
    <row customHeight="1" ht="11.25">
      <c r="A50" s="0" t="s">
        <v>16</v>
      </c>
      <c r="B50" s="0" t="s">
        <v>3905</v>
      </c>
      <c r="C50" s="0" t="s">
        <v>3906</v>
      </c>
      <c r="D50" s="0" t="s">
        <v>3907</v>
      </c>
      <c r="E50" s="0" t="s">
        <v>3908</v>
      </c>
      <c r="F50" s="0" t="s">
        <v>3809</v>
      </c>
      <c r="G50" s="0" t="s">
        <v>1711</v>
      </c>
    </row>
    <row customHeight="1" ht="11.25">
      <c r="A51" s="0" t="s">
        <v>16</v>
      </c>
      <c r="B51" s="0" t="s">
        <v>3905</v>
      </c>
      <c r="C51" s="0" t="s">
        <v>3906</v>
      </c>
      <c r="D51" s="0" t="s">
        <v>3909</v>
      </c>
      <c r="E51" s="0" t="s">
        <v>3910</v>
      </c>
      <c r="F51" s="0" t="s">
        <v>3809</v>
      </c>
      <c r="G51" s="0" t="s">
        <v>1715</v>
      </c>
    </row>
    <row customHeight="1" ht="11.25">
      <c r="A52" s="0" t="s">
        <v>16</v>
      </c>
      <c r="B52" s="0" t="s">
        <v>3905</v>
      </c>
      <c r="C52" s="0" t="s">
        <v>3906</v>
      </c>
      <c r="D52" s="0" t="s">
        <v>3911</v>
      </c>
      <c r="E52" s="0" t="s">
        <v>3912</v>
      </c>
      <c r="F52" s="0" t="s">
        <v>3809</v>
      </c>
      <c r="G52" s="0" t="s">
        <v>1719</v>
      </c>
    </row>
    <row customHeight="1" ht="11.25">
      <c r="A53" s="0" t="s">
        <v>16</v>
      </c>
      <c r="B53" s="0" t="s">
        <v>3905</v>
      </c>
      <c r="C53" s="0" t="s">
        <v>3906</v>
      </c>
      <c r="D53" s="0" t="s">
        <v>3905</v>
      </c>
      <c r="E53" s="0" t="s">
        <v>3906</v>
      </c>
      <c r="F53" s="0" t="s">
        <v>3806</v>
      </c>
      <c r="G53" s="0" t="s">
        <v>1721</v>
      </c>
    </row>
    <row customHeight="1" ht="11.25">
      <c r="A54" s="0" t="s">
        <v>16</v>
      </c>
      <c r="B54" s="0" t="s">
        <v>3905</v>
      </c>
      <c r="C54" s="0" t="s">
        <v>3906</v>
      </c>
      <c r="D54" s="0" t="s">
        <v>3913</v>
      </c>
      <c r="E54" s="0" t="s">
        <v>3914</v>
      </c>
      <c r="F54" s="0" t="s">
        <v>3809</v>
      </c>
      <c r="G54" s="0" t="s">
        <v>1724</v>
      </c>
    </row>
    <row customHeight="1" ht="11.25">
      <c r="A55" s="0" t="s">
        <v>16</v>
      </c>
      <c r="B55" s="0" t="s">
        <v>3905</v>
      </c>
      <c r="C55" s="0" t="s">
        <v>3906</v>
      </c>
      <c r="D55" s="0" t="s">
        <v>3915</v>
      </c>
      <c r="E55" s="0" t="s">
        <v>3916</v>
      </c>
      <c r="F55" s="0" t="s">
        <v>3809</v>
      </c>
      <c r="G55" s="0" t="s">
        <v>1728</v>
      </c>
    </row>
    <row customHeight="1" ht="11.25">
      <c r="A56" s="0" t="s">
        <v>16</v>
      </c>
      <c r="B56" s="0" t="s">
        <v>3905</v>
      </c>
      <c r="C56" s="0" t="s">
        <v>3906</v>
      </c>
      <c r="D56" s="0" t="s">
        <v>3917</v>
      </c>
      <c r="E56" s="0" t="s">
        <v>3918</v>
      </c>
      <c r="F56" s="0" t="s">
        <v>3809</v>
      </c>
      <c r="G56" s="0" t="s">
        <v>1731</v>
      </c>
    </row>
    <row customHeight="1" ht="11.25">
      <c r="A57" s="0" t="s">
        <v>16</v>
      </c>
      <c r="B57" s="0" t="s">
        <v>3905</v>
      </c>
      <c r="C57" s="0" t="s">
        <v>3906</v>
      </c>
      <c r="D57" s="0" t="s">
        <v>3919</v>
      </c>
      <c r="E57" s="0" t="s">
        <v>3920</v>
      </c>
      <c r="F57" s="0" t="s">
        <v>3809</v>
      </c>
      <c r="G57" s="0" t="s">
        <v>1734</v>
      </c>
    </row>
    <row customHeight="1" ht="11.25">
      <c r="A58" s="0" t="s">
        <v>16</v>
      </c>
      <c r="B58" s="0" t="s">
        <v>3905</v>
      </c>
      <c r="C58" s="0" t="s">
        <v>3906</v>
      </c>
      <c r="D58" s="0" t="s">
        <v>3921</v>
      </c>
      <c r="E58" s="0" t="s">
        <v>3922</v>
      </c>
      <c r="F58" s="0" t="s">
        <v>3809</v>
      </c>
      <c r="G58" s="0" t="s">
        <v>1737</v>
      </c>
    </row>
    <row customHeight="1" ht="11.25">
      <c r="A59" s="0" t="s">
        <v>16</v>
      </c>
      <c r="B59" s="0" t="s">
        <v>3905</v>
      </c>
      <c r="C59" s="0" t="s">
        <v>3906</v>
      </c>
      <c r="D59" s="0" t="s">
        <v>3923</v>
      </c>
      <c r="E59" s="0" t="s">
        <v>3924</v>
      </c>
      <c r="F59" s="0" t="s">
        <v>3809</v>
      </c>
      <c r="G59" s="0" t="s">
        <v>1741</v>
      </c>
    </row>
    <row customHeight="1" ht="11.25">
      <c r="A60" s="0" t="s">
        <v>16</v>
      </c>
      <c r="B60" s="0" t="s">
        <v>3905</v>
      </c>
      <c r="C60" s="0" t="s">
        <v>3906</v>
      </c>
      <c r="D60" s="0" t="s">
        <v>3925</v>
      </c>
      <c r="E60" s="0" t="s">
        <v>3926</v>
      </c>
      <c r="F60" s="0" t="s">
        <v>3809</v>
      </c>
      <c r="G60" s="0" t="s">
        <v>1745</v>
      </c>
    </row>
    <row customHeight="1" ht="11.25">
      <c r="A61" s="0" t="s">
        <v>16</v>
      </c>
      <c r="B61" s="0" t="s">
        <v>3905</v>
      </c>
      <c r="C61" s="0" t="s">
        <v>3906</v>
      </c>
      <c r="D61" s="0" t="s">
        <v>3927</v>
      </c>
      <c r="E61" s="0" t="s">
        <v>3928</v>
      </c>
      <c r="F61" s="0" t="s">
        <v>3809</v>
      </c>
      <c r="G61" s="0" t="s">
        <v>3929</v>
      </c>
    </row>
    <row customHeight="1" ht="11.25">
      <c r="A62" s="0" t="s">
        <v>16</v>
      </c>
      <c r="B62" s="0" t="s">
        <v>3905</v>
      </c>
      <c r="C62" s="0" t="s">
        <v>3906</v>
      </c>
      <c r="D62" s="0" t="s">
        <v>3930</v>
      </c>
      <c r="E62" s="0" t="s">
        <v>3931</v>
      </c>
      <c r="F62" s="0" t="s">
        <v>3809</v>
      </c>
      <c r="G62" s="0" t="s">
        <v>3932</v>
      </c>
    </row>
    <row customHeight="1" ht="11.25">
      <c r="A63" s="0" t="s">
        <v>16</v>
      </c>
      <c r="B63" s="0" t="s">
        <v>3905</v>
      </c>
      <c r="C63" s="0" t="s">
        <v>3906</v>
      </c>
      <c r="D63" s="0" t="s">
        <v>3933</v>
      </c>
      <c r="E63" s="0" t="s">
        <v>3934</v>
      </c>
      <c r="F63" s="0" t="s">
        <v>3809</v>
      </c>
      <c r="G63" s="0" t="s">
        <v>3935</v>
      </c>
    </row>
    <row customHeight="1" ht="11.25">
      <c r="A64" s="0" t="s">
        <v>16</v>
      </c>
      <c r="B64" s="0" t="s">
        <v>3905</v>
      </c>
      <c r="C64" s="0" t="s">
        <v>3906</v>
      </c>
      <c r="D64" s="0" t="s">
        <v>3936</v>
      </c>
      <c r="E64" s="0" t="s">
        <v>3937</v>
      </c>
      <c r="F64" s="0" t="s">
        <v>3809</v>
      </c>
      <c r="G64" s="0" t="s">
        <v>3938</v>
      </c>
    </row>
    <row customHeight="1" ht="11.25">
      <c r="A65" s="0" t="s">
        <v>16</v>
      </c>
      <c r="B65" s="0" t="s">
        <v>3905</v>
      </c>
      <c r="C65" s="0" t="s">
        <v>3906</v>
      </c>
      <c r="D65" s="0" t="s">
        <v>3939</v>
      </c>
      <c r="E65" s="0" t="s">
        <v>3940</v>
      </c>
      <c r="F65" s="0" t="s">
        <v>3809</v>
      </c>
      <c r="G65" s="0" t="s">
        <v>3941</v>
      </c>
    </row>
    <row customHeight="1" ht="11.25">
      <c r="A66" s="0" t="s">
        <v>16</v>
      </c>
      <c r="B66" s="0" t="s">
        <v>3905</v>
      </c>
      <c r="C66" s="0" t="s">
        <v>3906</v>
      </c>
      <c r="D66" s="0" t="s">
        <v>3942</v>
      </c>
      <c r="E66" s="0" t="s">
        <v>3943</v>
      </c>
      <c r="F66" s="0" t="s">
        <v>3809</v>
      </c>
      <c r="G66" s="0" t="s">
        <v>3944</v>
      </c>
    </row>
    <row customHeight="1" ht="11.25">
      <c r="A67" s="0" t="s">
        <v>16</v>
      </c>
      <c r="B67" s="0" t="s">
        <v>3905</v>
      </c>
      <c r="C67" s="0" t="s">
        <v>3906</v>
      </c>
      <c r="D67" s="0" t="s">
        <v>3945</v>
      </c>
      <c r="E67" s="0" t="s">
        <v>3946</v>
      </c>
      <c r="F67" s="0" t="s">
        <v>3809</v>
      </c>
      <c r="G67" s="0" t="s">
        <v>2062</v>
      </c>
    </row>
    <row customHeight="1" ht="11.25">
      <c r="A68" s="0" t="s">
        <v>16</v>
      </c>
      <c r="B68" s="0" t="s">
        <v>3905</v>
      </c>
      <c r="C68" s="0" t="s">
        <v>3906</v>
      </c>
      <c r="D68" s="0" t="s">
        <v>3947</v>
      </c>
      <c r="E68" s="0" t="s">
        <v>3948</v>
      </c>
      <c r="F68" s="0" t="s">
        <v>3809</v>
      </c>
      <c r="G68" s="0" t="s">
        <v>3949</v>
      </c>
    </row>
    <row customHeight="1" ht="11.25">
      <c r="A69" s="0" t="s">
        <v>16</v>
      </c>
      <c r="B69" s="0" t="s">
        <v>3905</v>
      </c>
      <c r="C69" s="0" t="s">
        <v>3906</v>
      </c>
      <c r="D69" s="0" t="s">
        <v>3950</v>
      </c>
      <c r="E69" s="0" t="s">
        <v>3951</v>
      </c>
      <c r="F69" s="0" t="s">
        <v>3809</v>
      </c>
      <c r="G69" s="0" t="s">
        <v>2265</v>
      </c>
    </row>
    <row customHeight="1" ht="11.25">
      <c r="A70" s="0" t="s">
        <v>16</v>
      </c>
      <c r="B70" s="0" t="s">
        <v>3905</v>
      </c>
      <c r="C70" s="0" t="s">
        <v>3906</v>
      </c>
      <c r="D70" s="0" t="s">
        <v>3952</v>
      </c>
      <c r="E70" s="0" t="s">
        <v>3953</v>
      </c>
      <c r="F70" s="0" t="s">
        <v>3809</v>
      </c>
      <c r="G70" s="0" t="s">
        <v>3954</v>
      </c>
    </row>
    <row customHeight="1" ht="11.25">
      <c r="A71" s="0" t="s">
        <v>16</v>
      </c>
      <c r="B71" s="0" t="s">
        <v>3905</v>
      </c>
      <c r="C71" s="0" t="s">
        <v>3906</v>
      </c>
      <c r="D71" s="0" t="s">
        <v>3955</v>
      </c>
      <c r="E71" s="0" t="s">
        <v>3956</v>
      </c>
      <c r="F71" s="0" t="s">
        <v>3809</v>
      </c>
      <c r="G71" s="0" t="s">
        <v>3957</v>
      </c>
    </row>
    <row customHeight="1" ht="11.25">
      <c r="A72" s="0" t="s">
        <v>16</v>
      </c>
      <c r="B72" s="0" t="s">
        <v>3958</v>
      </c>
      <c r="C72" s="0" t="s">
        <v>3959</v>
      </c>
      <c r="D72" s="0" t="s">
        <v>3960</v>
      </c>
      <c r="E72" s="0" t="s">
        <v>3961</v>
      </c>
      <c r="F72" s="0" t="s">
        <v>3809</v>
      </c>
      <c r="G72" s="0" t="s">
        <v>3962</v>
      </c>
    </row>
    <row customHeight="1" ht="11.25">
      <c r="A73" s="0" t="s">
        <v>16</v>
      </c>
      <c r="B73" s="0" t="s">
        <v>3958</v>
      </c>
      <c r="C73" s="0" t="s">
        <v>3959</v>
      </c>
      <c r="D73" s="0" t="s">
        <v>3958</v>
      </c>
      <c r="E73" s="0" t="s">
        <v>3959</v>
      </c>
      <c r="F73" s="0" t="s">
        <v>3806</v>
      </c>
      <c r="G73" s="0" t="s">
        <v>3963</v>
      </c>
    </row>
    <row customHeight="1" ht="11.25">
      <c r="A74" s="0" t="s">
        <v>16</v>
      </c>
      <c r="B74" s="0" t="s">
        <v>3958</v>
      </c>
      <c r="C74" s="0" t="s">
        <v>3959</v>
      </c>
      <c r="D74" s="0" t="s">
        <v>3964</v>
      </c>
      <c r="E74" s="0" t="s">
        <v>3965</v>
      </c>
      <c r="F74" s="0" t="s">
        <v>3809</v>
      </c>
      <c r="G74" s="0" t="s">
        <v>3966</v>
      </c>
    </row>
    <row customHeight="1" ht="11.25">
      <c r="A75" s="0" t="s">
        <v>16</v>
      </c>
      <c r="B75" s="0" t="s">
        <v>3958</v>
      </c>
      <c r="C75" s="0" t="s">
        <v>3959</v>
      </c>
      <c r="D75" s="0" t="s">
        <v>3967</v>
      </c>
      <c r="E75" s="0" t="s">
        <v>3968</v>
      </c>
      <c r="F75" s="0" t="s">
        <v>3846</v>
      </c>
      <c r="G75" s="0" t="s">
        <v>3969</v>
      </c>
    </row>
    <row customHeight="1" ht="11.25">
      <c r="A76" s="0" t="s">
        <v>16</v>
      </c>
      <c r="B76" s="0" t="s">
        <v>3958</v>
      </c>
      <c r="C76" s="0" t="s">
        <v>3959</v>
      </c>
      <c r="D76" s="0" t="s">
        <v>3970</v>
      </c>
      <c r="E76" s="0" t="s">
        <v>3971</v>
      </c>
      <c r="F76" s="0" t="s">
        <v>3809</v>
      </c>
      <c r="G76" s="0" t="s">
        <v>3972</v>
      </c>
    </row>
    <row customHeight="1" ht="11.25">
      <c r="A77" s="0" t="s">
        <v>16</v>
      </c>
      <c r="B77" s="0" t="s">
        <v>3958</v>
      </c>
      <c r="C77" s="0" t="s">
        <v>3959</v>
      </c>
      <c r="D77" s="0" t="s">
        <v>3973</v>
      </c>
      <c r="E77" s="0" t="s">
        <v>3974</v>
      </c>
      <c r="F77" s="0" t="s">
        <v>3816</v>
      </c>
      <c r="G77" s="0" t="s">
        <v>3975</v>
      </c>
    </row>
    <row customHeight="1" ht="11.25">
      <c r="A78" s="0" t="s">
        <v>16</v>
      </c>
      <c r="B78" s="0" t="s">
        <v>3958</v>
      </c>
      <c r="C78" s="0" t="s">
        <v>3959</v>
      </c>
      <c r="D78" s="0" t="s">
        <v>3976</v>
      </c>
      <c r="E78" s="0" t="s">
        <v>3977</v>
      </c>
      <c r="F78" s="0" t="s">
        <v>3809</v>
      </c>
      <c r="G78" s="0" t="s">
        <v>3978</v>
      </c>
    </row>
    <row customHeight="1" ht="11.25">
      <c r="A79" s="0" t="s">
        <v>16</v>
      </c>
      <c r="B79" s="0" t="s">
        <v>3958</v>
      </c>
      <c r="C79" s="0" t="s">
        <v>3959</v>
      </c>
      <c r="D79" s="0" t="s">
        <v>3979</v>
      </c>
      <c r="E79" s="0" t="s">
        <v>3980</v>
      </c>
      <c r="F79" s="0" t="s">
        <v>3809</v>
      </c>
      <c r="G79" s="0" t="s">
        <v>3981</v>
      </c>
    </row>
    <row customHeight="1" ht="11.25">
      <c r="A80" s="0" t="s">
        <v>16</v>
      </c>
      <c r="B80" s="0" t="s">
        <v>3982</v>
      </c>
      <c r="C80" s="0" t="s">
        <v>3983</v>
      </c>
      <c r="D80" s="0" t="s">
        <v>3984</v>
      </c>
      <c r="E80" s="0" t="s">
        <v>3985</v>
      </c>
      <c r="F80" s="0" t="s">
        <v>3809</v>
      </c>
      <c r="G80" s="0" t="s">
        <v>3986</v>
      </c>
    </row>
    <row customHeight="1" ht="11.25">
      <c r="A81" s="0" t="s">
        <v>16</v>
      </c>
      <c r="B81" s="0" t="s">
        <v>3982</v>
      </c>
      <c r="C81" s="0" t="s">
        <v>3983</v>
      </c>
      <c r="D81" s="0" t="s">
        <v>3960</v>
      </c>
      <c r="E81" s="0" t="s">
        <v>3987</v>
      </c>
      <c r="F81" s="0" t="s">
        <v>3809</v>
      </c>
      <c r="G81" s="0" t="s">
        <v>3988</v>
      </c>
    </row>
    <row customHeight="1" ht="11.25">
      <c r="A82" s="0" t="s">
        <v>16</v>
      </c>
      <c r="B82" s="0" t="s">
        <v>3982</v>
      </c>
      <c r="C82" s="0" t="s">
        <v>3983</v>
      </c>
      <c r="D82" s="0" t="s">
        <v>3989</v>
      </c>
      <c r="E82" s="0" t="s">
        <v>3990</v>
      </c>
      <c r="F82" s="0" t="s">
        <v>3809</v>
      </c>
      <c r="G82" s="0" t="s">
        <v>3991</v>
      </c>
    </row>
    <row customHeight="1" ht="11.25">
      <c r="A83" s="0" t="s">
        <v>16</v>
      </c>
      <c r="B83" s="0" t="s">
        <v>3982</v>
      </c>
      <c r="C83" s="0" t="s">
        <v>3983</v>
      </c>
      <c r="D83" s="0" t="s">
        <v>3992</v>
      </c>
      <c r="E83" s="0" t="s">
        <v>3993</v>
      </c>
      <c r="F83" s="0" t="s">
        <v>3809</v>
      </c>
      <c r="G83" s="0" t="s">
        <v>3994</v>
      </c>
    </row>
    <row customHeight="1" ht="11.25">
      <c r="A84" s="0" t="s">
        <v>16</v>
      </c>
      <c r="B84" s="0" t="s">
        <v>3982</v>
      </c>
      <c r="C84" s="0" t="s">
        <v>3983</v>
      </c>
      <c r="D84" s="0" t="s">
        <v>3995</v>
      </c>
      <c r="E84" s="0" t="s">
        <v>3996</v>
      </c>
      <c r="F84" s="0" t="s">
        <v>3809</v>
      </c>
      <c r="G84" s="0" t="s">
        <v>3997</v>
      </c>
    </row>
    <row customHeight="1" ht="11.25">
      <c r="A85" s="0" t="s">
        <v>16</v>
      </c>
      <c r="B85" s="0" t="s">
        <v>3982</v>
      </c>
      <c r="C85" s="0" t="s">
        <v>3983</v>
      </c>
      <c r="D85" s="0" t="s">
        <v>3982</v>
      </c>
      <c r="E85" s="0" t="s">
        <v>3983</v>
      </c>
      <c r="F85" s="0" t="s">
        <v>3806</v>
      </c>
      <c r="G85" s="0" t="s">
        <v>3998</v>
      </c>
    </row>
    <row customHeight="1" ht="11.25">
      <c r="A86" s="0" t="s">
        <v>16</v>
      </c>
      <c r="B86" s="0" t="s">
        <v>3982</v>
      </c>
      <c r="C86" s="0" t="s">
        <v>3983</v>
      </c>
      <c r="D86" s="0" t="s">
        <v>3999</v>
      </c>
      <c r="E86" s="0" t="s">
        <v>4000</v>
      </c>
      <c r="F86" s="0" t="s">
        <v>3827</v>
      </c>
      <c r="G86" s="0" t="s">
        <v>4001</v>
      </c>
    </row>
    <row customHeight="1" ht="11.25">
      <c r="A87" s="0" t="s">
        <v>16</v>
      </c>
      <c r="B87" s="0" t="s">
        <v>3982</v>
      </c>
      <c r="C87" s="0" t="s">
        <v>3983</v>
      </c>
      <c r="D87" s="0" t="s">
        <v>4002</v>
      </c>
      <c r="E87" s="0" t="s">
        <v>4003</v>
      </c>
      <c r="F87" s="0" t="s">
        <v>3809</v>
      </c>
      <c r="G87" s="0" t="s">
        <v>4004</v>
      </c>
    </row>
    <row customHeight="1" ht="11.25">
      <c r="A88" s="0" t="s">
        <v>16</v>
      </c>
      <c r="B88" s="0" t="s">
        <v>3982</v>
      </c>
      <c r="C88" s="0" t="s">
        <v>3983</v>
      </c>
      <c r="D88" s="0" t="s">
        <v>4005</v>
      </c>
      <c r="E88" s="0" t="s">
        <v>4006</v>
      </c>
      <c r="F88" s="0" t="s">
        <v>3816</v>
      </c>
      <c r="G88" s="0" t="s">
        <v>4007</v>
      </c>
    </row>
    <row customHeight="1" ht="11.25">
      <c r="A89" s="0" t="s">
        <v>16</v>
      </c>
      <c r="B89" s="0" t="s">
        <v>3982</v>
      </c>
      <c r="C89" s="0" t="s">
        <v>3983</v>
      </c>
      <c r="D89" s="0" t="s">
        <v>4008</v>
      </c>
      <c r="E89" s="0" t="s">
        <v>4009</v>
      </c>
      <c r="F89" s="0" t="s">
        <v>3816</v>
      </c>
      <c r="G89" s="0" t="s">
        <v>4010</v>
      </c>
    </row>
    <row customHeight="1" ht="11.25">
      <c r="A90" s="0" t="s">
        <v>16</v>
      </c>
      <c r="B90" s="0" t="s">
        <v>3982</v>
      </c>
      <c r="C90" s="0" t="s">
        <v>3983</v>
      </c>
      <c r="D90" s="0" t="s">
        <v>4011</v>
      </c>
      <c r="E90" s="0" t="s">
        <v>4012</v>
      </c>
      <c r="F90" s="0" t="s">
        <v>3809</v>
      </c>
      <c r="G90" s="0" t="s">
        <v>4013</v>
      </c>
    </row>
    <row customHeight="1" ht="11.25">
      <c r="A91" s="0" t="s">
        <v>16</v>
      </c>
      <c r="B91" s="0" t="s">
        <v>3982</v>
      </c>
      <c r="C91" s="0" t="s">
        <v>3983</v>
      </c>
      <c r="D91" s="0" t="s">
        <v>4014</v>
      </c>
      <c r="E91" s="0" t="s">
        <v>4015</v>
      </c>
      <c r="F91" s="0" t="s">
        <v>3809</v>
      </c>
      <c r="G91" s="0" t="s">
        <v>4016</v>
      </c>
    </row>
    <row customHeight="1" ht="11.25">
      <c r="A92" s="0" t="s">
        <v>16</v>
      </c>
      <c r="B92" s="0" t="s">
        <v>3982</v>
      </c>
      <c r="C92" s="0" t="s">
        <v>3983</v>
      </c>
      <c r="D92" s="0" t="s">
        <v>4017</v>
      </c>
      <c r="E92" s="0" t="s">
        <v>4018</v>
      </c>
      <c r="F92" s="0" t="s">
        <v>3809</v>
      </c>
      <c r="G92" s="0" t="s">
        <v>4019</v>
      </c>
    </row>
    <row customHeight="1" ht="11.25">
      <c r="A93" s="0" t="s">
        <v>16</v>
      </c>
      <c r="B93" s="0" t="s">
        <v>3982</v>
      </c>
      <c r="C93" s="0" t="s">
        <v>3983</v>
      </c>
      <c r="D93" s="0" t="s">
        <v>4020</v>
      </c>
      <c r="E93" s="0" t="s">
        <v>4021</v>
      </c>
      <c r="F93" s="0" t="s">
        <v>3809</v>
      </c>
      <c r="G93" s="0" t="s">
        <v>4022</v>
      </c>
    </row>
    <row customHeight="1" ht="11.25">
      <c r="A94" s="0" t="s">
        <v>16</v>
      </c>
      <c r="B94" s="0" t="s">
        <v>3982</v>
      </c>
      <c r="C94" s="0" t="s">
        <v>3983</v>
      </c>
      <c r="D94" s="0" t="s">
        <v>4023</v>
      </c>
      <c r="E94" s="0" t="s">
        <v>4024</v>
      </c>
      <c r="F94" s="0" t="s">
        <v>3809</v>
      </c>
      <c r="G94" s="0" t="s">
        <v>4025</v>
      </c>
    </row>
    <row customHeight="1" ht="11.25">
      <c r="A95" s="0" t="s">
        <v>16</v>
      </c>
      <c r="B95" s="0" t="s">
        <v>3982</v>
      </c>
      <c r="C95" s="0" t="s">
        <v>3983</v>
      </c>
      <c r="D95" s="0" t="s">
        <v>4026</v>
      </c>
      <c r="E95" s="0" t="s">
        <v>4027</v>
      </c>
      <c r="F95" s="0" t="s">
        <v>3809</v>
      </c>
      <c r="G95" s="0" t="s">
        <v>4028</v>
      </c>
    </row>
    <row customHeight="1" ht="11.25">
      <c r="A96" s="0" t="s">
        <v>16</v>
      </c>
      <c r="B96" s="0" t="s">
        <v>3982</v>
      </c>
      <c r="C96" s="0" t="s">
        <v>3983</v>
      </c>
      <c r="D96" s="0" t="s">
        <v>4029</v>
      </c>
      <c r="E96" s="0" t="s">
        <v>4030</v>
      </c>
      <c r="F96" s="0" t="s">
        <v>3809</v>
      </c>
      <c r="G96" s="0" t="s">
        <v>4031</v>
      </c>
    </row>
    <row customHeight="1" ht="11.25">
      <c r="A97" s="0" t="s">
        <v>16</v>
      </c>
      <c r="B97" s="0" t="s">
        <v>3982</v>
      </c>
      <c r="C97" s="0" t="s">
        <v>3983</v>
      </c>
      <c r="D97" s="0" t="s">
        <v>4032</v>
      </c>
      <c r="E97" s="0" t="s">
        <v>4033</v>
      </c>
      <c r="F97" s="0" t="s">
        <v>3809</v>
      </c>
      <c r="G97" s="0" t="s">
        <v>4034</v>
      </c>
    </row>
    <row customHeight="1" ht="11.25">
      <c r="A98" s="0" t="s">
        <v>16</v>
      </c>
      <c r="B98" s="0" t="s">
        <v>4035</v>
      </c>
      <c r="C98" s="0" t="s">
        <v>4036</v>
      </c>
      <c r="D98" s="0" t="s">
        <v>3960</v>
      </c>
      <c r="E98" s="0" t="s">
        <v>4037</v>
      </c>
      <c r="F98" s="0" t="s">
        <v>3809</v>
      </c>
      <c r="G98" s="0" t="s">
        <v>4038</v>
      </c>
    </row>
    <row customHeight="1" ht="11.25">
      <c r="A99" s="0" t="s">
        <v>16</v>
      </c>
      <c r="B99" s="0" t="s">
        <v>4035</v>
      </c>
      <c r="C99" s="0" t="s">
        <v>4036</v>
      </c>
      <c r="D99" s="0" t="s">
        <v>4039</v>
      </c>
      <c r="E99" s="0" t="s">
        <v>4040</v>
      </c>
      <c r="F99" s="0" t="s">
        <v>3809</v>
      </c>
      <c r="G99" s="0" t="s">
        <v>4041</v>
      </c>
    </row>
    <row customHeight="1" ht="11.25">
      <c r="A100" s="0" t="s">
        <v>16</v>
      </c>
      <c r="B100" s="0" t="s">
        <v>4035</v>
      </c>
      <c r="C100" s="0" t="s">
        <v>4036</v>
      </c>
      <c r="D100" s="0" t="s">
        <v>4042</v>
      </c>
      <c r="E100" s="0" t="s">
        <v>4043</v>
      </c>
      <c r="F100" s="0" t="s">
        <v>3809</v>
      </c>
      <c r="G100" s="0" t="s">
        <v>4044</v>
      </c>
    </row>
    <row customHeight="1" ht="11.25">
      <c r="A101" s="0" t="s">
        <v>16</v>
      </c>
      <c r="B101" s="0" t="s">
        <v>4035</v>
      </c>
      <c r="C101" s="0" t="s">
        <v>4036</v>
      </c>
      <c r="D101" s="0" t="s">
        <v>3891</v>
      </c>
      <c r="E101" s="0" t="s">
        <v>4045</v>
      </c>
      <c r="F101" s="0" t="s">
        <v>3809</v>
      </c>
      <c r="G101" s="0" t="s">
        <v>4046</v>
      </c>
    </row>
    <row customHeight="1" ht="11.25">
      <c r="A102" s="0" t="s">
        <v>16</v>
      </c>
      <c r="B102" s="0" t="s">
        <v>4035</v>
      </c>
      <c r="C102" s="0" t="s">
        <v>4036</v>
      </c>
      <c r="D102" s="0" t="s">
        <v>4035</v>
      </c>
      <c r="E102" s="0" t="s">
        <v>4036</v>
      </c>
      <c r="F102" s="0" t="s">
        <v>3806</v>
      </c>
      <c r="G102" s="0" t="s">
        <v>4047</v>
      </c>
    </row>
    <row customHeight="1" ht="11.25">
      <c r="A103" s="0" t="s">
        <v>16</v>
      </c>
      <c r="B103" s="0" t="s">
        <v>4035</v>
      </c>
      <c r="C103" s="0" t="s">
        <v>4036</v>
      </c>
      <c r="D103" s="0" t="s">
        <v>4048</v>
      </c>
      <c r="E103" s="0" t="s">
        <v>4049</v>
      </c>
      <c r="F103" s="0" t="s">
        <v>3827</v>
      </c>
      <c r="G103" s="0" t="s">
        <v>4050</v>
      </c>
    </row>
    <row customHeight="1" ht="11.25">
      <c r="A104" s="0" t="s">
        <v>16</v>
      </c>
      <c r="B104" s="0" t="s">
        <v>4035</v>
      </c>
      <c r="C104" s="0" t="s">
        <v>4036</v>
      </c>
      <c r="D104" s="0" t="s">
        <v>4051</v>
      </c>
      <c r="E104" s="0" t="s">
        <v>4052</v>
      </c>
      <c r="F104" s="0" t="s">
        <v>3809</v>
      </c>
      <c r="G104" s="0" t="s">
        <v>4053</v>
      </c>
    </row>
    <row customHeight="1" ht="11.25">
      <c r="A105" s="0" t="s">
        <v>16</v>
      </c>
      <c r="B105" s="0" t="s">
        <v>4035</v>
      </c>
      <c r="C105" s="0" t="s">
        <v>4036</v>
      </c>
      <c r="D105" s="0" t="s">
        <v>4054</v>
      </c>
      <c r="E105" s="0" t="s">
        <v>4055</v>
      </c>
      <c r="F105" s="0" t="s">
        <v>3809</v>
      </c>
      <c r="G105" s="0" t="s">
        <v>4056</v>
      </c>
    </row>
    <row customHeight="1" ht="11.25">
      <c r="A106" s="0" t="s">
        <v>16</v>
      </c>
      <c r="B106" s="0" t="s">
        <v>4035</v>
      </c>
      <c r="C106" s="0" t="s">
        <v>4036</v>
      </c>
      <c r="D106" s="0" t="s">
        <v>4057</v>
      </c>
      <c r="E106" s="0" t="s">
        <v>4058</v>
      </c>
      <c r="F106" s="0" t="s">
        <v>3809</v>
      </c>
      <c r="G106" s="0" t="s">
        <v>4059</v>
      </c>
    </row>
    <row customHeight="1" ht="11.25">
      <c r="A107" s="0" t="s">
        <v>16</v>
      </c>
      <c r="B107" s="0" t="s">
        <v>4035</v>
      </c>
      <c r="C107" s="0" t="s">
        <v>4036</v>
      </c>
      <c r="D107" s="0" t="s">
        <v>4060</v>
      </c>
      <c r="E107" s="0" t="s">
        <v>4061</v>
      </c>
      <c r="F107" s="0" t="s">
        <v>3809</v>
      </c>
      <c r="G107" s="0" t="s">
        <v>4062</v>
      </c>
    </row>
    <row customHeight="1" ht="11.25">
      <c r="A108" s="0" t="s">
        <v>16</v>
      </c>
      <c r="B108" s="0" t="s">
        <v>4035</v>
      </c>
      <c r="C108" s="0" t="s">
        <v>4036</v>
      </c>
      <c r="D108" s="0" t="s">
        <v>4063</v>
      </c>
      <c r="E108" s="0" t="s">
        <v>4064</v>
      </c>
      <c r="F108" s="0" t="s">
        <v>3809</v>
      </c>
      <c r="G108" s="0" t="s">
        <v>4065</v>
      </c>
    </row>
    <row customHeight="1" ht="11.25">
      <c r="A109" s="0" t="s">
        <v>16</v>
      </c>
      <c r="B109" s="0" t="s">
        <v>4035</v>
      </c>
      <c r="C109" s="0" t="s">
        <v>4036</v>
      </c>
      <c r="D109" s="0" t="s">
        <v>4066</v>
      </c>
      <c r="E109" s="0" t="s">
        <v>4067</v>
      </c>
      <c r="F109" s="0" t="s">
        <v>3809</v>
      </c>
      <c r="G109" s="0" t="s">
        <v>4068</v>
      </c>
    </row>
    <row customHeight="1" ht="11.25">
      <c r="A110" s="0" t="s">
        <v>16</v>
      </c>
      <c r="B110" s="0" t="s">
        <v>4035</v>
      </c>
      <c r="C110" s="0" t="s">
        <v>4036</v>
      </c>
      <c r="D110" s="0" t="s">
        <v>4069</v>
      </c>
      <c r="E110" s="0" t="s">
        <v>4070</v>
      </c>
      <c r="F110" s="0" t="s">
        <v>3809</v>
      </c>
      <c r="G110" s="0" t="s">
        <v>4071</v>
      </c>
    </row>
    <row customHeight="1" ht="11.25">
      <c r="A111" s="0" t="s">
        <v>16</v>
      </c>
      <c r="B111" s="0" t="s">
        <v>4035</v>
      </c>
      <c r="C111" s="0" t="s">
        <v>4036</v>
      </c>
      <c r="D111" s="0" t="s">
        <v>4072</v>
      </c>
      <c r="E111" s="0" t="s">
        <v>4073</v>
      </c>
      <c r="F111" s="0" t="s">
        <v>3816</v>
      </c>
      <c r="G111" s="0" t="s">
        <v>4074</v>
      </c>
    </row>
    <row customHeight="1" ht="11.25">
      <c r="A112" s="0" t="s">
        <v>16</v>
      </c>
      <c r="B112" s="0" t="s">
        <v>4035</v>
      </c>
      <c r="C112" s="0" t="s">
        <v>4036</v>
      </c>
      <c r="D112" s="0" t="s">
        <v>4075</v>
      </c>
      <c r="E112" s="0" t="s">
        <v>4076</v>
      </c>
      <c r="F112" s="0" t="s">
        <v>3809</v>
      </c>
      <c r="G112" s="0" t="s">
        <v>4077</v>
      </c>
    </row>
    <row customHeight="1" ht="11.25">
      <c r="A113" s="0" t="s">
        <v>16</v>
      </c>
      <c r="B113" s="0" t="s">
        <v>4035</v>
      </c>
      <c r="C113" s="0" t="s">
        <v>4036</v>
      </c>
      <c r="D113" s="0" t="s">
        <v>4078</v>
      </c>
      <c r="E113" s="0" t="s">
        <v>4079</v>
      </c>
      <c r="F113" s="0" t="s">
        <v>3809</v>
      </c>
      <c r="G113" s="0" t="s">
        <v>4080</v>
      </c>
    </row>
    <row customHeight="1" ht="11.25">
      <c r="A114" s="0" t="s">
        <v>16</v>
      </c>
      <c r="B114" s="0" t="s">
        <v>4035</v>
      </c>
      <c r="C114" s="0" t="s">
        <v>4036</v>
      </c>
      <c r="D114" s="0" t="s">
        <v>4081</v>
      </c>
      <c r="E114" s="0" t="s">
        <v>4082</v>
      </c>
      <c r="F114" s="0" t="s">
        <v>3809</v>
      </c>
      <c r="G114" s="0" t="s">
        <v>4083</v>
      </c>
    </row>
    <row customHeight="1" ht="11.25">
      <c r="A115" s="0" t="s">
        <v>16</v>
      </c>
      <c r="B115" s="0" t="s">
        <v>4035</v>
      </c>
      <c r="C115" s="0" t="s">
        <v>4036</v>
      </c>
      <c r="D115" s="0" t="s">
        <v>4084</v>
      </c>
      <c r="E115" s="0" t="s">
        <v>4085</v>
      </c>
      <c r="F115" s="0" t="s">
        <v>3809</v>
      </c>
      <c r="G115" s="0" t="s">
        <v>4086</v>
      </c>
    </row>
    <row customHeight="1" ht="11.25">
      <c r="A116" s="0" t="s">
        <v>16</v>
      </c>
      <c r="B116" s="0" t="s">
        <v>4035</v>
      </c>
      <c r="C116" s="0" t="s">
        <v>4036</v>
      </c>
      <c r="D116" s="0" t="s">
        <v>4087</v>
      </c>
      <c r="E116" s="0" t="s">
        <v>4088</v>
      </c>
      <c r="F116" s="0" t="s">
        <v>3809</v>
      </c>
      <c r="G116" s="0" t="s">
        <v>4089</v>
      </c>
    </row>
    <row customHeight="1" ht="11.25">
      <c r="A117" s="0" t="s">
        <v>16</v>
      </c>
      <c r="B117" s="0" t="s">
        <v>4035</v>
      </c>
      <c r="C117" s="0" t="s">
        <v>4036</v>
      </c>
      <c r="D117" s="0" t="s">
        <v>4090</v>
      </c>
      <c r="E117" s="0" t="s">
        <v>4091</v>
      </c>
      <c r="F117" s="0" t="s">
        <v>3809</v>
      </c>
      <c r="G117" s="0" t="s">
        <v>4092</v>
      </c>
    </row>
    <row customHeight="1" ht="11.25">
      <c r="A118" s="0" t="s">
        <v>16</v>
      </c>
      <c r="B118" s="0" t="s">
        <v>4035</v>
      </c>
      <c r="C118" s="0" t="s">
        <v>4036</v>
      </c>
      <c r="D118" s="0" t="s">
        <v>4093</v>
      </c>
      <c r="E118" s="0" t="s">
        <v>4094</v>
      </c>
      <c r="F118" s="0" t="s">
        <v>3809</v>
      </c>
      <c r="G118" s="0" t="s">
        <v>4095</v>
      </c>
    </row>
    <row customHeight="1" ht="11.25">
      <c r="A119" s="0" t="s">
        <v>16</v>
      </c>
      <c r="B119" s="0" t="s">
        <v>4035</v>
      </c>
      <c r="C119" s="0" t="s">
        <v>4036</v>
      </c>
      <c r="D119" s="0" t="s">
        <v>4096</v>
      </c>
      <c r="E119" s="0" t="s">
        <v>4097</v>
      </c>
      <c r="F119" s="0" t="s">
        <v>3809</v>
      </c>
      <c r="G119" s="0" t="s">
        <v>4098</v>
      </c>
    </row>
    <row customHeight="1" ht="11.25">
      <c r="A120" s="0" t="s">
        <v>16</v>
      </c>
      <c r="B120" s="0" t="s">
        <v>4099</v>
      </c>
      <c r="C120" s="0" t="s">
        <v>4100</v>
      </c>
      <c r="D120" s="0" t="s">
        <v>4101</v>
      </c>
      <c r="E120" s="0" t="s">
        <v>4102</v>
      </c>
      <c r="F120" s="0" t="s">
        <v>3809</v>
      </c>
      <c r="G120" s="0" t="s">
        <v>4103</v>
      </c>
    </row>
    <row customHeight="1" ht="11.25">
      <c r="A121" s="0" t="s">
        <v>16</v>
      </c>
      <c r="B121" s="0" t="s">
        <v>4099</v>
      </c>
      <c r="C121" s="0" t="s">
        <v>4100</v>
      </c>
      <c r="D121" s="0" t="s">
        <v>4104</v>
      </c>
      <c r="E121" s="0" t="s">
        <v>4105</v>
      </c>
      <c r="F121" s="0" t="s">
        <v>3809</v>
      </c>
      <c r="G121" s="0" t="s">
        <v>4106</v>
      </c>
    </row>
    <row customHeight="1" ht="11.25">
      <c r="A122" s="0" t="s">
        <v>16</v>
      </c>
      <c r="B122" s="0" t="s">
        <v>4099</v>
      </c>
      <c r="C122" s="0" t="s">
        <v>4100</v>
      </c>
      <c r="D122" s="0" t="s">
        <v>4099</v>
      </c>
      <c r="E122" s="0" t="s">
        <v>4100</v>
      </c>
      <c r="F122" s="0" t="s">
        <v>3806</v>
      </c>
      <c r="G122" s="0" t="s">
        <v>4107</v>
      </c>
    </row>
    <row customHeight="1" ht="11.25">
      <c r="A123" s="0" t="s">
        <v>16</v>
      </c>
      <c r="B123" s="0" t="s">
        <v>4099</v>
      </c>
      <c r="C123" s="0" t="s">
        <v>4100</v>
      </c>
      <c r="D123" s="0" t="s">
        <v>4108</v>
      </c>
      <c r="E123" s="0" t="s">
        <v>4109</v>
      </c>
      <c r="F123" s="0" t="s">
        <v>3809</v>
      </c>
      <c r="G123" s="0" t="s">
        <v>4110</v>
      </c>
    </row>
    <row customHeight="1" ht="11.25">
      <c r="A124" s="0" t="s">
        <v>16</v>
      </c>
      <c r="B124" s="0" t="s">
        <v>4099</v>
      </c>
      <c r="C124" s="0" t="s">
        <v>4100</v>
      </c>
      <c r="D124" s="0" t="s">
        <v>4111</v>
      </c>
      <c r="E124" s="0" t="s">
        <v>4112</v>
      </c>
      <c r="F124" s="0" t="s">
        <v>3809</v>
      </c>
      <c r="G124" s="0" t="s">
        <v>4113</v>
      </c>
    </row>
    <row customHeight="1" ht="11.25">
      <c r="A125" s="0" t="s">
        <v>16</v>
      </c>
      <c r="B125" s="0" t="s">
        <v>4099</v>
      </c>
      <c r="C125" s="0" t="s">
        <v>4100</v>
      </c>
      <c r="D125" s="0" t="s">
        <v>4114</v>
      </c>
      <c r="E125" s="0" t="s">
        <v>4115</v>
      </c>
      <c r="F125" s="0" t="s">
        <v>3809</v>
      </c>
      <c r="G125" s="0" t="s">
        <v>4116</v>
      </c>
    </row>
    <row customHeight="1" ht="11.25">
      <c r="A126" s="0" t="s">
        <v>16</v>
      </c>
      <c r="B126" s="0" t="s">
        <v>4099</v>
      </c>
      <c r="C126" s="0" t="s">
        <v>4100</v>
      </c>
      <c r="D126" s="0" t="s">
        <v>4117</v>
      </c>
      <c r="E126" s="0" t="s">
        <v>4118</v>
      </c>
      <c r="F126" s="0" t="s">
        <v>3809</v>
      </c>
      <c r="G126" s="0" t="s">
        <v>4119</v>
      </c>
    </row>
    <row customHeight="1" ht="11.25">
      <c r="A127" s="0" t="s">
        <v>16</v>
      </c>
      <c r="B127" s="0" t="s">
        <v>4099</v>
      </c>
      <c r="C127" s="0" t="s">
        <v>4100</v>
      </c>
      <c r="D127" s="0" t="s">
        <v>4120</v>
      </c>
      <c r="E127" s="0" t="s">
        <v>4121</v>
      </c>
      <c r="F127" s="0" t="s">
        <v>3809</v>
      </c>
      <c r="G127" s="0" t="s">
        <v>4122</v>
      </c>
    </row>
    <row customHeight="1" ht="11.25">
      <c r="A128" s="0" t="s">
        <v>16</v>
      </c>
      <c r="B128" s="0" t="s">
        <v>4099</v>
      </c>
      <c r="C128" s="0" t="s">
        <v>4100</v>
      </c>
      <c r="D128" s="0" t="s">
        <v>4123</v>
      </c>
      <c r="E128" s="0" t="s">
        <v>4124</v>
      </c>
      <c r="F128" s="0" t="s">
        <v>3809</v>
      </c>
      <c r="G128" s="0" t="s">
        <v>4125</v>
      </c>
    </row>
    <row customHeight="1" ht="11.25">
      <c r="A129" s="0" t="s">
        <v>16</v>
      </c>
      <c r="B129" s="0" t="s">
        <v>4099</v>
      </c>
      <c r="C129" s="0" t="s">
        <v>4100</v>
      </c>
      <c r="D129" s="0" t="s">
        <v>4126</v>
      </c>
      <c r="E129" s="0" t="s">
        <v>4127</v>
      </c>
      <c r="F129" s="0" t="s">
        <v>3809</v>
      </c>
      <c r="G129" s="0" t="s">
        <v>4128</v>
      </c>
    </row>
    <row customHeight="1" ht="11.25">
      <c r="A130" s="0" t="s">
        <v>16</v>
      </c>
      <c r="B130" s="0" t="s">
        <v>4129</v>
      </c>
      <c r="C130" s="0" t="s">
        <v>4130</v>
      </c>
      <c r="D130" s="0" t="s">
        <v>4129</v>
      </c>
      <c r="E130" s="0" t="s">
        <v>4130</v>
      </c>
      <c r="F130" s="0" t="s">
        <v>4131</v>
      </c>
      <c r="G130" s="0" t="s">
        <v>4132</v>
      </c>
    </row>
    <row customHeight="1" ht="11.25">
      <c r="A131" s="0" t="s">
        <v>16</v>
      </c>
      <c r="B131" s="0" t="s">
        <v>4133</v>
      </c>
      <c r="C131" s="0" t="s">
        <v>4134</v>
      </c>
      <c r="D131" s="0" t="s">
        <v>4133</v>
      </c>
      <c r="E131" s="0" t="s">
        <v>4134</v>
      </c>
      <c r="F131" s="0" t="s">
        <v>4131</v>
      </c>
      <c r="G131" s="0" t="s">
        <v>4135</v>
      </c>
    </row>
    <row customHeight="1" ht="11.25">
      <c r="A132" s="0" t="s">
        <v>16</v>
      </c>
      <c r="B132" s="0" t="s">
        <v>4136</v>
      </c>
      <c r="C132" s="0" t="s">
        <v>4137</v>
      </c>
      <c r="D132" s="0" t="s">
        <v>4138</v>
      </c>
      <c r="E132" s="0" t="s">
        <v>4139</v>
      </c>
      <c r="F132" s="0" t="s">
        <v>3809</v>
      </c>
      <c r="G132" s="0" t="s">
        <v>4140</v>
      </c>
    </row>
    <row customHeight="1" ht="11.25">
      <c r="A133" s="0" t="s">
        <v>16</v>
      </c>
      <c r="B133" s="0" t="s">
        <v>4136</v>
      </c>
      <c r="C133" s="0" t="s">
        <v>4137</v>
      </c>
      <c r="D133" s="0" t="s">
        <v>4136</v>
      </c>
      <c r="E133" s="0" t="s">
        <v>4137</v>
      </c>
      <c r="F133" s="0" t="s">
        <v>3806</v>
      </c>
      <c r="G133" s="0" t="s">
        <v>4141</v>
      </c>
    </row>
    <row customHeight="1" ht="11.25">
      <c r="A134" s="0" t="s">
        <v>16</v>
      </c>
      <c r="B134" s="0" t="s">
        <v>4136</v>
      </c>
      <c r="C134" s="0" t="s">
        <v>4137</v>
      </c>
      <c r="D134" s="0" t="s">
        <v>4142</v>
      </c>
      <c r="E134" s="0" t="s">
        <v>4143</v>
      </c>
      <c r="F134" s="0" t="s">
        <v>3809</v>
      </c>
      <c r="G134" s="0" t="s">
        <v>4144</v>
      </c>
    </row>
    <row customHeight="1" ht="11.25">
      <c r="A135" s="0" t="s">
        <v>16</v>
      </c>
      <c r="B135" s="0" t="s">
        <v>4136</v>
      </c>
      <c r="C135" s="0" t="s">
        <v>4137</v>
      </c>
      <c r="D135" s="0" t="s">
        <v>4145</v>
      </c>
      <c r="E135" s="0" t="s">
        <v>4146</v>
      </c>
      <c r="F135" s="0" t="s">
        <v>3809</v>
      </c>
      <c r="G135" s="0" t="s">
        <v>4147</v>
      </c>
    </row>
    <row customHeight="1" ht="11.25">
      <c r="A136" s="0" t="s">
        <v>16</v>
      </c>
      <c r="B136" s="0" t="s">
        <v>4136</v>
      </c>
      <c r="C136" s="0" t="s">
        <v>4137</v>
      </c>
      <c r="D136" s="0" t="s">
        <v>4148</v>
      </c>
      <c r="E136" s="0" t="s">
        <v>4149</v>
      </c>
      <c r="F136" s="0" t="s">
        <v>3846</v>
      </c>
      <c r="G136" s="0" t="s">
        <v>4150</v>
      </c>
    </row>
    <row customHeight="1" ht="11.25">
      <c r="A137" s="0" t="s">
        <v>16</v>
      </c>
      <c r="B137" s="0" t="s">
        <v>4136</v>
      </c>
      <c r="C137" s="0" t="s">
        <v>4137</v>
      </c>
      <c r="D137" s="0" t="s">
        <v>4151</v>
      </c>
      <c r="E137" s="0" t="s">
        <v>4152</v>
      </c>
      <c r="F137" s="0" t="s">
        <v>3809</v>
      </c>
      <c r="G137" s="0" t="s">
        <v>4153</v>
      </c>
    </row>
    <row customHeight="1" ht="11.25">
      <c r="A138" s="0" t="s">
        <v>16</v>
      </c>
      <c r="B138" s="0" t="s">
        <v>4154</v>
      </c>
      <c r="C138" s="0" t="s">
        <v>4155</v>
      </c>
      <c r="D138" s="0" t="s">
        <v>4156</v>
      </c>
      <c r="E138" s="0" t="s">
        <v>4157</v>
      </c>
      <c r="F138" s="0" t="s">
        <v>3809</v>
      </c>
      <c r="G138" s="0" t="s">
        <v>4158</v>
      </c>
    </row>
    <row customHeight="1" ht="11.25">
      <c r="A139" s="0" t="s">
        <v>16</v>
      </c>
      <c r="B139" s="0" t="s">
        <v>4154</v>
      </c>
      <c r="C139" s="0" t="s">
        <v>4155</v>
      </c>
      <c r="D139" s="0" t="s">
        <v>4159</v>
      </c>
      <c r="E139" s="0" t="s">
        <v>4160</v>
      </c>
      <c r="F139" s="0" t="s">
        <v>3809</v>
      </c>
      <c r="G139" s="0" t="s">
        <v>4161</v>
      </c>
    </row>
    <row customHeight="1" ht="11.25">
      <c r="A140" s="0" t="s">
        <v>16</v>
      </c>
      <c r="B140" s="0" t="s">
        <v>4154</v>
      </c>
      <c r="C140" s="0" t="s">
        <v>4155</v>
      </c>
      <c r="D140" s="0" t="s">
        <v>4154</v>
      </c>
      <c r="E140" s="0" t="s">
        <v>4155</v>
      </c>
      <c r="F140" s="0" t="s">
        <v>3806</v>
      </c>
      <c r="G140" s="0" t="s">
        <v>4162</v>
      </c>
    </row>
    <row customHeight="1" ht="11.25">
      <c r="A141" s="0" t="s">
        <v>16</v>
      </c>
      <c r="B141" s="0" t="s">
        <v>4154</v>
      </c>
      <c r="C141" s="0" t="s">
        <v>4155</v>
      </c>
      <c r="D141" s="0" t="s">
        <v>4163</v>
      </c>
      <c r="E141" s="0" t="s">
        <v>4164</v>
      </c>
      <c r="F141" s="0" t="s">
        <v>3809</v>
      </c>
      <c r="G141" s="0" t="s">
        <v>4165</v>
      </c>
    </row>
    <row customHeight="1" ht="11.25">
      <c r="A142" s="0" t="s">
        <v>16</v>
      </c>
      <c r="B142" s="0" t="s">
        <v>4154</v>
      </c>
      <c r="C142" s="0" t="s">
        <v>4155</v>
      </c>
      <c r="D142" s="0" t="s">
        <v>4166</v>
      </c>
      <c r="E142" s="0" t="s">
        <v>4167</v>
      </c>
      <c r="F142" s="0" t="s">
        <v>3809</v>
      </c>
      <c r="G142" s="0" t="s">
        <v>4168</v>
      </c>
    </row>
    <row customHeight="1" ht="11.25">
      <c r="A143" s="0" t="s">
        <v>16</v>
      </c>
      <c r="B143" s="0" t="s">
        <v>4154</v>
      </c>
      <c r="C143" s="0" t="s">
        <v>4155</v>
      </c>
      <c r="D143" s="0" t="s">
        <v>4169</v>
      </c>
      <c r="E143" s="0" t="s">
        <v>4170</v>
      </c>
      <c r="F143" s="0" t="s">
        <v>3809</v>
      </c>
      <c r="G143" s="0" t="s">
        <v>4171</v>
      </c>
    </row>
    <row customHeight="1" ht="11.25">
      <c r="A144" s="0" t="s">
        <v>16</v>
      </c>
      <c r="B144" s="0" t="s">
        <v>4154</v>
      </c>
      <c r="C144" s="0" t="s">
        <v>4155</v>
      </c>
      <c r="D144" s="0" t="s">
        <v>4172</v>
      </c>
      <c r="E144" s="0" t="s">
        <v>4173</v>
      </c>
      <c r="F144" s="0" t="s">
        <v>3809</v>
      </c>
      <c r="G144" s="0" t="s">
        <v>4174</v>
      </c>
    </row>
    <row customHeight="1" ht="11.25">
      <c r="A145" s="0" t="s">
        <v>16</v>
      </c>
      <c r="B145" s="0" t="s">
        <v>4154</v>
      </c>
      <c r="C145" s="0" t="s">
        <v>4155</v>
      </c>
      <c r="D145" s="0" t="s">
        <v>4175</v>
      </c>
      <c r="E145" s="0" t="s">
        <v>4176</v>
      </c>
      <c r="F145" s="0" t="s">
        <v>3809</v>
      </c>
      <c r="G145" s="0" t="s">
        <v>4177</v>
      </c>
    </row>
    <row customHeight="1" ht="11.25">
      <c r="A146" s="0" t="s">
        <v>16</v>
      </c>
      <c r="B146" s="0" t="s">
        <v>4154</v>
      </c>
      <c r="C146" s="0" t="s">
        <v>4155</v>
      </c>
      <c r="D146" s="0" t="s">
        <v>4178</v>
      </c>
      <c r="E146" s="0" t="s">
        <v>4179</v>
      </c>
      <c r="F146" s="0" t="s">
        <v>3846</v>
      </c>
      <c r="G146" s="0" t="s">
        <v>4180</v>
      </c>
    </row>
    <row customHeight="1" ht="11.25">
      <c r="A147" s="0" t="s">
        <v>16</v>
      </c>
      <c r="B147" s="0" t="s">
        <v>4154</v>
      </c>
      <c r="C147" s="0" t="s">
        <v>4155</v>
      </c>
      <c r="D147" s="0" t="s">
        <v>4181</v>
      </c>
      <c r="E147" s="0" t="s">
        <v>4182</v>
      </c>
      <c r="F147" s="0" t="s">
        <v>3809</v>
      </c>
      <c r="G147" s="0" t="s">
        <v>4183</v>
      </c>
    </row>
    <row customHeight="1" ht="11.25">
      <c r="A148" s="0" t="s">
        <v>16</v>
      </c>
      <c r="B148" s="0" t="s">
        <v>4154</v>
      </c>
      <c r="C148" s="0" t="s">
        <v>4155</v>
      </c>
      <c r="D148" s="0" t="s">
        <v>4184</v>
      </c>
      <c r="E148" s="0" t="s">
        <v>4185</v>
      </c>
      <c r="F148" s="0" t="s">
        <v>3809</v>
      </c>
      <c r="G148" s="0" t="s">
        <v>4186</v>
      </c>
    </row>
    <row customHeight="1" ht="11.25">
      <c r="A149" s="0" t="s">
        <v>16</v>
      </c>
      <c r="B149" s="0" t="s">
        <v>4154</v>
      </c>
      <c r="C149" s="0" t="s">
        <v>4155</v>
      </c>
      <c r="D149" s="0" t="s">
        <v>4187</v>
      </c>
      <c r="E149" s="0" t="s">
        <v>4188</v>
      </c>
      <c r="F149" s="0" t="s">
        <v>3816</v>
      </c>
      <c r="G149" s="0" t="s">
        <v>4189</v>
      </c>
    </row>
    <row customHeight="1" ht="11.25">
      <c r="A150" s="0" t="s">
        <v>16</v>
      </c>
      <c r="B150" s="0" t="s">
        <v>4154</v>
      </c>
      <c r="C150" s="0" t="s">
        <v>4155</v>
      </c>
      <c r="D150" s="0" t="s">
        <v>4190</v>
      </c>
      <c r="E150" s="0" t="s">
        <v>4191</v>
      </c>
      <c r="F150" s="0" t="s">
        <v>3809</v>
      </c>
      <c r="G150" s="0" t="s">
        <v>4192</v>
      </c>
    </row>
    <row customHeight="1" ht="11.25">
      <c r="A151" s="0" t="s">
        <v>16</v>
      </c>
      <c r="B151" s="0" t="s">
        <v>4154</v>
      </c>
      <c r="C151" s="0" t="s">
        <v>4155</v>
      </c>
      <c r="D151" s="0" t="s">
        <v>4193</v>
      </c>
      <c r="E151" s="0" t="s">
        <v>4194</v>
      </c>
      <c r="F151" s="0" t="s">
        <v>3809</v>
      </c>
      <c r="G151" s="0" t="s">
        <v>4195</v>
      </c>
    </row>
    <row customHeight="1" ht="11.25">
      <c r="A152" s="0" t="s">
        <v>16</v>
      </c>
      <c r="B152" s="0" t="s">
        <v>4196</v>
      </c>
      <c r="C152" s="0" t="s">
        <v>4197</v>
      </c>
      <c r="D152" s="0" t="s">
        <v>4198</v>
      </c>
      <c r="E152" s="0" t="s">
        <v>4199</v>
      </c>
      <c r="F152" s="0" t="s">
        <v>3809</v>
      </c>
      <c r="G152" s="0" t="s">
        <v>4200</v>
      </c>
    </row>
    <row customHeight="1" ht="11.25">
      <c r="A153" s="0" t="s">
        <v>16</v>
      </c>
      <c r="B153" s="0" t="s">
        <v>4196</v>
      </c>
      <c r="C153" s="0" t="s">
        <v>4197</v>
      </c>
      <c r="D153" s="0" t="s">
        <v>4201</v>
      </c>
      <c r="E153" s="0" t="s">
        <v>4202</v>
      </c>
      <c r="F153" s="0" t="s">
        <v>3827</v>
      </c>
      <c r="G153" s="0" t="s">
        <v>4203</v>
      </c>
    </row>
    <row customHeight="1" ht="11.25">
      <c r="A154" s="0" t="s">
        <v>16</v>
      </c>
      <c r="B154" s="0" t="s">
        <v>4196</v>
      </c>
      <c r="C154" s="0" t="s">
        <v>4197</v>
      </c>
      <c r="D154" s="0" t="s">
        <v>4196</v>
      </c>
      <c r="E154" s="0" t="s">
        <v>4197</v>
      </c>
      <c r="F154" s="0" t="s">
        <v>3806</v>
      </c>
      <c r="G154" s="0" t="s">
        <v>4204</v>
      </c>
    </row>
    <row customHeight="1" ht="11.25">
      <c r="A155" s="0" t="s">
        <v>16</v>
      </c>
      <c r="B155" s="0" t="s">
        <v>4196</v>
      </c>
      <c r="C155" s="0" t="s">
        <v>4197</v>
      </c>
      <c r="D155" s="0" t="s">
        <v>4205</v>
      </c>
      <c r="E155" s="0" t="s">
        <v>4206</v>
      </c>
      <c r="F155" s="0" t="s">
        <v>3846</v>
      </c>
      <c r="G155" s="0" t="s">
        <v>4207</v>
      </c>
    </row>
    <row customHeight="1" ht="11.25">
      <c r="A156" s="0" t="s">
        <v>16</v>
      </c>
      <c r="B156" s="0" t="s">
        <v>4196</v>
      </c>
      <c r="C156" s="0" t="s">
        <v>4197</v>
      </c>
      <c r="D156" s="0" t="s">
        <v>4208</v>
      </c>
      <c r="E156" s="0" t="s">
        <v>4209</v>
      </c>
      <c r="F156" s="0" t="s">
        <v>3809</v>
      </c>
      <c r="G156" s="0" t="s">
        <v>4210</v>
      </c>
    </row>
    <row customHeight="1" ht="11.25">
      <c r="A157" s="0" t="s">
        <v>16</v>
      </c>
      <c r="B157" s="0" t="s">
        <v>4196</v>
      </c>
      <c r="C157" s="0" t="s">
        <v>4197</v>
      </c>
      <c r="D157" s="0" t="s">
        <v>4211</v>
      </c>
      <c r="E157" s="0" t="s">
        <v>4212</v>
      </c>
      <c r="F157" s="0" t="s">
        <v>3809</v>
      </c>
      <c r="G157" s="0" t="s">
        <v>4213</v>
      </c>
    </row>
    <row customHeight="1" ht="11.25">
      <c r="A158" s="0" t="s">
        <v>16</v>
      </c>
      <c r="B158" s="0" t="s">
        <v>4196</v>
      </c>
      <c r="C158" s="0" t="s">
        <v>4197</v>
      </c>
      <c r="D158" s="0" t="s">
        <v>4214</v>
      </c>
      <c r="E158" s="0" t="s">
        <v>4215</v>
      </c>
      <c r="F158" s="0" t="s">
        <v>3809</v>
      </c>
      <c r="G158" s="0" t="s">
        <v>4216</v>
      </c>
    </row>
    <row customHeight="1" ht="11.25">
      <c r="A159" s="0" t="s">
        <v>16</v>
      </c>
      <c r="B159" s="0" t="s">
        <v>4196</v>
      </c>
      <c r="C159" s="0" t="s">
        <v>4197</v>
      </c>
      <c r="D159" s="0" t="s">
        <v>4217</v>
      </c>
      <c r="E159" s="0" t="s">
        <v>4218</v>
      </c>
      <c r="F159" s="0" t="s">
        <v>3809</v>
      </c>
      <c r="G159" s="0" t="s">
        <v>4219</v>
      </c>
    </row>
    <row customHeight="1" ht="11.25">
      <c r="A160" s="0" t="s">
        <v>16</v>
      </c>
      <c r="B160" s="0" t="s">
        <v>4196</v>
      </c>
      <c r="C160" s="0" t="s">
        <v>4197</v>
      </c>
      <c r="D160" s="0" t="s">
        <v>4220</v>
      </c>
      <c r="E160" s="0" t="s">
        <v>4221</v>
      </c>
      <c r="F160" s="0" t="s">
        <v>3816</v>
      </c>
      <c r="G160" s="0" t="s">
        <v>4222</v>
      </c>
    </row>
    <row customHeight="1" ht="11.25">
      <c r="A161" s="0" t="s">
        <v>16</v>
      </c>
      <c r="B161" s="0" t="s">
        <v>4196</v>
      </c>
      <c r="C161" s="0" t="s">
        <v>4197</v>
      </c>
      <c r="D161" s="0" t="s">
        <v>4223</v>
      </c>
      <c r="E161" s="0" t="s">
        <v>4224</v>
      </c>
      <c r="F161" s="0" t="s">
        <v>3816</v>
      </c>
      <c r="G161" s="0" t="s">
        <v>4225</v>
      </c>
    </row>
    <row customHeight="1" ht="11.25">
      <c r="A162" s="0" t="s">
        <v>16</v>
      </c>
      <c r="B162" s="0" t="s">
        <v>4196</v>
      </c>
      <c r="C162" s="0" t="s">
        <v>4197</v>
      </c>
      <c r="D162" s="0" t="s">
        <v>4226</v>
      </c>
      <c r="E162" s="0" t="s">
        <v>4227</v>
      </c>
      <c r="F162" s="0" t="s">
        <v>3809</v>
      </c>
      <c r="G162" s="0" t="s">
        <v>4228</v>
      </c>
    </row>
    <row customHeight="1" ht="11.25">
      <c r="A163" s="0" t="s">
        <v>16</v>
      </c>
      <c r="B163" s="0" t="s">
        <v>4196</v>
      </c>
      <c r="C163" s="0" t="s">
        <v>4197</v>
      </c>
      <c r="D163" s="0" t="s">
        <v>4229</v>
      </c>
      <c r="E163" s="0" t="s">
        <v>4230</v>
      </c>
      <c r="F163" s="0" t="s">
        <v>3809</v>
      </c>
      <c r="G163" s="0" t="s">
        <v>4231</v>
      </c>
    </row>
    <row customHeight="1" ht="11.25">
      <c r="A164" s="0" t="s">
        <v>16</v>
      </c>
      <c r="B164" s="0" t="s">
        <v>4196</v>
      </c>
      <c r="C164" s="0" t="s">
        <v>4197</v>
      </c>
      <c r="D164" s="0" t="s">
        <v>4232</v>
      </c>
      <c r="E164" s="0" t="s">
        <v>4233</v>
      </c>
      <c r="F164" s="0" t="s">
        <v>3809</v>
      </c>
      <c r="G164" s="0" t="s">
        <v>4234</v>
      </c>
    </row>
    <row customHeight="1" ht="11.25">
      <c r="A165" s="0" t="s">
        <v>16</v>
      </c>
      <c r="B165" s="0" t="s">
        <v>4235</v>
      </c>
      <c r="C165" s="0" t="s">
        <v>4236</v>
      </c>
      <c r="D165" s="0" t="s">
        <v>3857</v>
      </c>
      <c r="E165" s="0" t="s">
        <v>4237</v>
      </c>
      <c r="F165" s="0" t="s">
        <v>3809</v>
      </c>
      <c r="G165" s="0" t="s">
        <v>4238</v>
      </c>
    </row>
    <row customHeight="1" ht="11.25">
      <c r="A166" s="0" t="s">
        <v>16</v>
      </c>
      <c r="B166" s="0" t="s">
        <v>4235</v>
      </c>
      <c r="C166" s="0" t="s">
        <v>4236</v>
      </c>
      <c r="D166" s="0" t="s">
        <v>4239</v>
      </c>
      <c r="E166" s="0" t="s">
        <v>4240</v>
      </c>
      <c r="F166" s="0" t="s">
        <v>3809</v>
      </c>
      <c r="G166" s="0" t="s">
        <v>4241</v>
      </c>
    </row>
    <row customHeight="1" ht="11.25">
      <c r="A167" s="0" t="s">
        <v>16</v>
      </c>
      <c r="B167" s="0" t="s">
        <v>4235</v>
      </c>
      <c r="C167" s="0" t="s">
        <v>4236</v>
      </c>
      <c r="D167" s="0" t="s">
        <v>4242</v>
      </c>
      <c r="E167" s="0" t="s">
        <v>4243</v>
      </c>
      <c r="F167" s="0" t="s">
        <v>3809</v>
      </c>
      <c r="G167" s="0" t="s">
        <v>4244</v>
      </c>
    </row>
    <row customHeight="1" ht="11.25">
      <c r="A168" s="0" t="s">
        <v>16</v>
      </c>
      <c r="B168" s="0" t="s">
        <v>4235</v>
      </c>
      <c r="C168" s="0" t="s">
        <v>4236</v>
      </c>
      <c r="D168" s="0" t="s">
        <v>4245</v>
      </c>
      <c r="E168" s="0" t="s">
        <v>4246</v>
      </c>
      <c r="F168" s="0" t="s">
        <v>3809</v>
      </c>
      <c r="G168" s="0" t="s">
        <v>4247</v>
      </c>
    </row>
    <row customHeight="1" ht="11.25">
      <c r="A169" s="0" t="s">
        <v>16</v>
      </c>
      <c r="B169" s="0" t="s">
        <v>4235</v>
      </c>
      <c r="C169" s="0" t="s">
        <v>4236</v>
      </c>
      <c r="D169" s="0" t="s">
        <v>4248</v>
      </c>
      <c r="E169" s="0" t="s">
        <v>4249</v>
      </c>
      <c r="F169" s="0" t="s">
        <v>3809</v>
      </c>
      <c r="G169" s="0" t="s">
        <v>4250</v>
      </c>
    </row>
    <row customHeight="1" ht="11.25">
      <c r="A170" s="0" t="s">
        <v>16</v>
      </c>
      <c r="B170" s="0" t="s">
        <v>4235</v>
      </c>
      <c r="C170" s="0" t="s">
        <v>4236</v>
      </c>
      <c r="D170" s="0" t="s">
        <v>4251</v>
      </c>
      <c r="E170" s="0" t="s">
        <v>4252</v>
      </c>
      <c r="F170" s="0" t="s">
        <v>3809</v>
      </c>
      <c r="G170" s="0" t="s">
        <v>4253</v>
      </c>
    </row>
    <row customHeight="1" ht="11.25">
      <c r="A171" s="0" t="s">
        <v>16</v>
      </c>
      <c r="B171" s="0" t="s">
        <v>4235</v>
      </c>
      <c r="C171" s="0" t="s">
        <v>4236</v>
      </c>
      <c r="D171" s="0" t="s">
        <v>4254</v>
      </c>
      <c r="E171" s="0" t="s">
        <v>4255</v>
      </c>
      <c r="F171" s="0" t="s">
        <v>3809</v>
      </c>
      <c r="G171" s="0" t="s">
        <v>4256</v>
      </c>
    </row>
    <row customHeight="1" ht="11.25">
      <c r="A172" s="0" t="s">
        <v>16</v>
      </c>
      <c r="B172" s="0" t="s">
        <v>4235</v>
      </c>
      <c r="C172" s="0" t="s">
        <v>4236</v>
      </c>
      <c r="D172" s="0" t="s">
        <v>4257</v>
      </c>
      <c r="E172" s="0" t="s">
        <v>4258</v>
      </c>
      <c r="F172" s="0" t="s">
        <v>3809</v>
      </c>
      <c r="G172" s="0" t="s">
        <v>4259</v>
      </c>
    </row>
    <row customHeight="1" ht="11.25">
      <c r="A173" s="0" t="s">
        <v>16</v>
      </c>
      <c r="B173" s="0" t="s">
        <v>4235</v>
      </c>
      <c r="C173" s="0" t="s">
        <v>4236</v>
      </c>
      <c r="D173" s="0" t="s">
        <v>4260</v>
      </c>
      <c r="E173" s="0" t="s">
        <v>4261</v>
      </c>
      <c r="F173" s="0" t="s">
        <v>3809</v>
      </c>
      <c r="G173" s="0" t="s">
        <v>4262</v>
      </c>
    </row>
    <row customHeight="1" ht="11.25">
      <c r="A174" s="0" t="s">
        <v>16</v>
      </c>
      <c r="B174" s="0" t="s">
        <v>4235</v>
      </c>
      <c r="C174" s="0" t="s">
        <v>4236</v>
      </c>
      <c r="D174" s="0" t="s">
        <v>4263</v>
      </c>
      <c r="E174" s="0" t="s">
        <v>4264</v>
      </c>
      <c r="F174" s="0" t="s">
        <v>3809</v>
      </c>
      <c r="G174" s="0" t="s">
        <v>4265</v>
      </c>
    </row>
    <row customHeight="1" ht="11.25">
      <c r="A175" s="0" t="s">
        <v>16</v>
      </c>
      <c r="B175" s="0" t="s">
        <v>4235</v>
      </c>
      <c r="C175" s="0" t="s">
        <v>4236</v>
      </c>
      <c r="D175" s="0" t="s">
        <v>4235</v>
      </c>
      <c r="E175" s="0" t="s">
        <v>4236</v>
      </c>
      <c r="F175" s="0" t="s">
        <v>3806</v>
      </c>
      <c r="G175" s="0" t="s">
        <v>4266</v>
      </c>
    </row>
    <row customHeight="1" ht="11.25">
      <c r="A176" s="0" t="s">
        <v>16</v>
      </c>
      <c r="B176" s="0" t="s">
        <v>4235</v>
      </c>
      <c r="C176" s="0" t="s">
        <v>4236</v>
      </c>
      <c r="D176" s="0" t="s">
        <v>4267</v>
      </c>
      <c r="E176" s="0" t="s">
        <v>4268</v>
      </c>
      <c r="F176" s="0" t="s">
        <v>3809</v>
      </c>
      <c r="G176" s="0" t="s">
        <v>4269</v>
      </c>
    </row>
    <row customHeight="1" ht="11.25">
      <c r="A177" s="0" t="s">
        <v>16</v>
      </c>
      <c r="B177" s="0" t="s">
        <v>4235</v>
      </c>
      <c r="C177" s="0" t="s">
        <v>4236</v>
      </c>
      <c r="D177" s="0" t="s">
        <v>4270</v>
      </c>
      <c r="E177" s="0" t="s">
        <v>4271</v>
      </c>
      <c r="F177" s="0" t="s">
        <v>3809</v>
      </c>
      <c r="G177" s="0" t="s">
        <v>4272</v>
      </c>
    </row>
    <row customHeight="1" ht="11.25">
      <c r="A178" s="0" t="s">
        <v>16</v>
      </c>
      <c r="B178" s="0" t="s">
        <v>4235</v>
      </c>
      <c r="C178" s="0" t="s">
        <v>4236</v>
      </c>
      <c r="D178" s="0" t="s">
        <v>4273</v>
      </c>
      <c r="E178" s="0" t="s">
        <v>4274</v>
      </c>
      <c r="F178" s="0" t="s">
        <v>3809</v>
      </c>
      <c r="G178" s="0" t="s">
        <v>4275</v>
      </c>
    </row>
    <row customHeight="1" ht="11.25">
      <c r="A179" s="0" t="s">
        <v>16</v>
      </c>
      <c r="B179" s="0" t="s">
        <v>4235</v>
      </c>
      <c r="C179" s="0" t="s">
        <v>4236</v>
      </c>
      <c r="D179" s="0" t="s">
        <v>4276</v>
      </c>
      <c r="E179" s="0" t="s">
        <v>4277</v>
      </c>
      <c r="F179" s="0" t="s">
        <v>3809</v>
      </c>
      <c r="G179" s="0" t="s">
        <v>4278</v>
      </c>
    </row>
    <row customHeight="1" ht="11.25">
      <c r="A180" s="0" t="s">
        <v>16</v>
      </c>
      <c r="B180" s="0" t="s">
        <v>4235</v>
      </c>
      <c r="C180" s="0" t="s">
        <v>4236</v>
      </c>
      <c r="D180" s="0" t="s">
        <v>4279</v>
      </c>
      <c r="E180" s="0" t="s">
        <v>4280</v>
      </c>
      <c r="F180" s="0" t="s">
        <v>3809</v>
      </c>
      <c r="G180" s="0" t="s">
        <v>4281</v>
      </c>
    </row>
    <row customHeight="1" ht="11.25">
      <c r="A181" s="0" t="s">
        <v>16</v>
      </c>
      <c r="B181" s="0" t="s">
        <v>4235</v>
      </c>
      <c r="C181" s="0" t="s">
        <v>4236</v>
      </c>
      <c r="D181" s="0" t="s">
        <v>4282</v>
      </c>
      <c r="E181" s="0" t="s">
        <v>4283</v>
      </c>
      <c r="F181" s="0" t="s">
        <v>3809</v>
      </c>
      <c r="G181" s="0" t="s">
        <v>4284</v>
      </c>
    </row>
    <row customHeight="1" ht="11.25">
      <c r="A182" s="0" t="s">
        <v>16</v>
      </c>
      <c r="B182" s="0" t="s">
        <v>4235</v>
      </c>
      <c r="C182" s="0" t="s">
        <v>4236</v>
      </c>
      <c r="D182" s="0" t="s">
        <v>4285</v>
      </c>
      <c r="E182" s="0" t="s">
        <v>4286</v>
      </c>
      <c r="F182" s="0" t="s">
        <v>3809</v>
      </c>
      <c r="G182" s="0" t="s">
        <v>4287</v>
      </c>
    </row>
    <row customHeight="1" ht="11.25">
      <c r="A183" s="0" t="s">
        <v>16</v>
      </c>
      <c r="B183" s="0" t="s">
        <v>4235</v>
      </c>
      <c r="C183" s="0" t="s">
        <v>4236</v>
      </c>
      <c r="D183" s="0" t="s">
        <v>4288</v>
      </c>
      <c r="E183" s="0" t="s">
        <v>4289</v>
      </c>
      <c r="F183" s="0" t="s">
        <v>3809</v>
      </c>
      <c r="G183" s="0" t="s">
        <v>4290</v>
      </c>
    </row>
    <row customHeight="1" ht="11.25">
      <c r="A184" s="0" t="s">
        <v>16</v>
      </c>
      <c r="B184" s="0" t="s">
        <v>4235</v>
      </c>
      <c r="C184" s="0" t="s">
        <v>4236</v>
      </c>
      <c r="D184" s="0" t="s">
        <v>4291</v>
      </c>
      <c r="E184" s="0" t="s">
        <v>4292</v>
      </c>
      <c r="F184" s="0" t="s">
        <v>3809</v>
      </c>
      <c r="G184" s="0" t="s">
        <v>4293</v>
      </c>
    </row>
    <row customHeight="1" ht="11.25">
      <c r="A185" s="0" t="s">
        <v>16</v>
      </c>
      <c r="B185" s="0" t="s">
        <v>4235</v>
      </c>
      <c r="C185" s="0" t="s">
        <v>4236</v>
      </c>
      <c r="D185" s="0" t="s">
        <v>4294</v>
      </c>
      <c r="E185" s="0" t="s">
        <v>4295</v>
      </c>
      <c r="F185" s="0" t="s">
        <v>3809</v>
      </c>
      <c r="G185" s="0" t="s">
        <v>4296</v>
      </c>
    </row>
    <row customHeight="1" ht="11.25">
      <c r="A186" s="0" t="s">
        <v>16</v>
      </c>
      <c r="B186" s="0" t="s">
        <v>4235</v>
      </c>
      <c r="C186" s="0" t="s">
        <v>4236</v>
      </c>
      <c r="D186" s="0" t="s">
        <v>4297</v>
      </c>
      <c r="E186" s="0" t="s">
        <v>4298</v>
      </c>
      <c r="F186" s="0" t="s">
        <v>3809</v>
      </c>
      <c r="G186" s="0" t="s">
        <v>4299</v>
      </c>
    </row>
    <row customHeight="1" ht="11.25">
      <c r="A187" s="0" t="s">
        <v>16</v>
      </c>
      <c r="B187" s="0" t="s">
        <v>4235</v>
      </c>
      <c r="C187" s="0" t="s">
        <v>4236</v>
      </c>
      <c r="D187" s="0" t="s">
        <v>4300</v>
      </c>
      <c r="E187" s="0" t="s">
        <v>4301</v>
      </c>
      <c r="F187" s="0" t="s">
        <v>3809</v>
      </c>
      <c r="G187" s="0" t="s">
        <v>4302</v>
      </c>
    </row>
    <row customHeight="1" ht="11.25">
      <c r="A188" s="0" t="s">
        <v>16</v>
      </c>
      <c r="B188" s="0" t="s">
        <v>4235</v>
      </c>
      <c r="C188" s="0" t="s">
        <v>4236</v>
      </c>
      <c r="D188" s="0" t="s">
        <v>4303</v>
      </c>
      <c r="E188" s="0" t="s">
        <v>4304</v>
      </c>
      <c r="F188" s="0" t="s">
        <v>3809</v>
      </c>
      <c r="G188" s="0" t="s">
        <v>4305</v>
      </c>
    </row>
    <row customHeight="1" ht="11.25">
      <c r="A189" s="0" t="s">
        <v>16</v>
      </c>
      <c r="B189" s="0" t="s">
        <v>4235</v>
      </c>
      <c r="C189" s="0" t="s">
        <v>4236</v>
      </c>
      <c r="D189" s="0" t="s">
        <v>4306</v>
      </c>
      <c r="E189" s="0" t="s">
        <v>4307</v>
      </c>
      <c r="F189" s="0" t="s">
        <v>3809</v>
      </c>
      <c r="G189" s="0" t="s">
        <v>4308</v>
      </c>
    </row>
    <row customHeight="1" ht="11.25">
      <c r="A190" s="0" t="s">
        <v>16</v>
      </c>
      <c r="B190" s="0" t="s">
        <v>4235</v>
      </c>
      <c r="C190" s="0" t="s">
        <v>4236</v>
      </c>
      <c r="D190" s="0" t="s">
        <v>4309</v>
      </c>
      <c r="E190" s="0" t="s">
        <v>4310</v>
      </c>
      <c r="F190" s="0" t="s">
        <v>3809</v>
      </c>
      <c r="G190" s="0" t="s">
        <v>4311</v>
      </c>
    </row>
    <row customHeight="1" ht="11.25">
      <c r="A191" s="0" t="s">
        <v>16</v>
      </c>
      <c r="B191" s="0" t="s">
        <v>4235</v>
      </c>
      <c r="C191" s="0" t="s">
        <v>4236</v>
      </c>
      <c r="D191" s="0" t="s">
        <v>4312</v>
      </c>
      <c r="E191" s="0" t="s">
        <v>4313</v>
      </c>
      <c r="F191" s="0" t="s">
        <v>3809</v>
      </c>
      <c r="G191" s="0" t="s">
        <v>4314</v>
      </c>
    </row>
    <row customHeight="1" ht="11.25">
      <c r="A192" s="0" t="s">
        <v>16</v>
      </c>
      <c r="B192" s="0" t="s">
        <v>4235</v>
      </c>
      <c r="C192" s="0" t="s">
        <v>4236</v>
      </c>
      <c r="D192" s="0" t="s">
        <v>4315</v>
      </c>
      <c r="E192" s="0" t="s">
        <v>4316</v>
      </c>
      <c r="F192" s="0" t="s">
        <v>3809</v>
      </c>
      <c r="G192" s="0" t="s">
        <v>4317</v>
      </c>
    </row>
    <row customHeight="1" ht="11.25">
      <c r="A193" s="0" t="s">
        <v>16</v>
      </c>
      <c r="B193" s="0" t="s">
        <v>4235</v>
      </c>
      <c r="C193" s="0" t="s">
        <v>4236</v>
      </c>
      <c r="D193" s="0" t="s">
        <v>4318</v>
      </c>
      <c r="E193" s="0" t="s">
        <v>4319</v>
      </c>
      <c r="F193" s="0" t="s">
        <v>3809</v>
      </c>
      <c r="G193" s="0" t="s">
        <v>4320</v>
      </c>
    </row>
    <row customHeight="1" ht="11.25">
      <c r="A194" s="0" t="s">
        <v>16</v>
      </c>
      <c r="B194" s="0" t="s">
        <v>4235</v>
      </c>
      <c r="C194" s="0" t="s">
        <v>4236</v>
      </c>
      <c r="D194" s="0" t="s">
        <v>4321</v>
      </c>
      <c r="E194" s="0" t="s">
        <v>4322</v>
      </c>
      <c r="F194" s="0" t="s">
        <v>3809</v>
      </c>
      <c r="G194" s="0" t="s">
        <v>4323</v>
      </c>
    </row>
    <row customHeight="1" ht="11.25">
      <c r="A195" s="0" t="s">
        <v>16</v>
      </c>
      <c r="B195" s="0" t="s">
        <v>4235</v>
      </c>
      <c r="C195" s="0" t="s">
        <v>4236</v>
      </c>
      <c r="D195" s="0" t="s">
        <v>4324</v>
      </c>
      <c r="E195" s="0" t="s">
        <v>4325</v>
      </c>
      <c r="F195" s="0" t="s">
        <v>3809</v>
      </c>
      <c r="G195" s="0" t="s">
        <v>4326</v>
      </c>
    </row>
    <row customHeight="1" ht="11.25">
      <c r="A196" s="0" t="s">
        <v>16</v>
      </c>
      <c r="B196" s="0" t="s">
        <v>4235</v>
      </c>
      <c r="C196" s="0" t="s">
        <v>4236</v>
      </c>
      <c r="D196" s="0" t="s">
        <v>4327</v>
      </c>
      <c r="E196" s="0" t="s">
        <v>4328</v>
      </c>
      <c r="F196" s="0" t="s">
        <v>3816</v>
      </c>
      <c r="G196" s="0" t="s">
        <v>4329</v>
      </c>
    </row>
    <row customHeight="1" ht="11.25">
      <c r="A197" s="0" t="s">
        <v>16</v>
      </c>
      <c r="B197" s="0" t="s">
        <v>4330</v>
      </c>
      <c r="C197" s="0" t="s">
        <v>4331</v>
      </c>
      <c r="D197" s="0" t="s">
        <v>4332</v>
      </c>
      <c r="E197" s="0" t="s">
        <v>4333</v>
      </c>
      <c r="F197" s="0" t="s">
        <v>3809</v>
      </c>
      <c r="G197" s="0" t="s">
        <v>4334</v>
      </c>
    </row>
    <row customHeight="1" ht="11.25">
      <c r="A198" s="0" t="s">
        <v>16</v>
      </c>
      <c r="B198" s="0" t="s">
        <v>4330</v>
      </c>
      <c r="C198" s="0" t="s">
        <v>4331</v>
      </c>
      <c r="D198" s="0" t="s">
        <v>4335</v>
      </c>
      <c r="E198" s="0" t="s">
        <v>4336</v>
      </c>
      <c r="F198" s="0" t="s">
        <v>3827</v>
      </c>
      <c r="G198" s="0" t="s">
        <v>4337</v>
      </c>
    </row>
    <row customHeight="1" ht="11.25">
      <c r="A199" s="0" t="s">
        <v>16</v>
      </c>
      <c r="B199" s="0" t="s">
        <v>4330</v>
      </c>
      <c r="C199" s="0" t="s">
        <v>4331</v>
      </c>
      <c r="D199" s="0" t="s">
        <v>4338</v>
      </c>
      <c r="E199" s="0" t="s">
        <v>4339</v>
      </c>
      <c r="F199" s="0" t="s">
        <v>3827</v>
      </c>
      <c r="G199" s="0" t="s">
        <v>4340</v>
      </c>
    </row>
    <row customHeight="1" ht="11.25">
      <c r="A200" s="0" t="s">
        <v>16</v>
      </c>
      <c r="B200" s="0" t="s">
        <v>4330</v>
      </c>
      <c r="C200" s="0" t="s">
        <v>4331</v>
      </c>
      <c r="D200" s="0" t="s">
        <v>4341</v>
      </c>
      <c r="E200" s="0" t="s">
        <v>4342</v>
      </c>
      <c r="F200" s="0" t="s">
        <v>3846</v>
      </c>
      <c r="G200" s="0" t="s">
        <v>4343</v>
      </c>
    </row>
    <row customHeight="1" ht="11.25">
      <c r="A201" s="0" t="s">
        <v>16</v>
      </c>
      <c r="B201" s="0" t="s">
        <v>4330</v>
      </c>
      <c r="C201" s="0" t="s">
        <v>4331</v>
      </c>
      <c r="D201" s="0" t="s">
        <v>4330</v>
      </c>
      <c r="E201" s="0" t="s">
        <v>4331</v>
      </c>
      <c r="F201" s="0" t="s">
        <v>3806</v>
      </c>
      <c r="G201" s="0" t="s">
        <v>4344</v>
      </c>
    </row>
    <row customHeight="1" ht="11.25">
      <c r="A202" s="0" t="s">
        <v>16</v>
      </c>
      <c r="B202" s="0" t="s">
        <v>4330</v>
      </c>
      <c r="C202" s="0" t="s">
        <v>4331</v>
      </c>
      <c r="D202" s="0" t="s">
        <v>4345</v>
      </c>
      <c r="E202" s="0" t="s">
        <v>4346</v>
      </c>
      <c r="F202" s="0" t="s">
        <v>3816</v>
      </c>
      <c r="G202" s="0" t="s">
        <v>4347</v>
      </c>
    </row>
    <row customHeight="1" ht="11.25">
      <c r="A203" s="0" t="s">
        <v>16</v>
      </c>
      <c r="B203" s="0" t="s">
        <v>4330</v>
      </c>
      <c r="C203" s="0" t="s">
        <v>4331</v>
      </c>
      <c r="D203" s="0" t="s">
        <v>4348</v>
      </c>
      <c r="E203" s="0" t="s">
        <v>4349</v>
      </c>
      <c r="F203" s="0" t="s">
        <v>3816</v>
      </c>
      <c r="G203" s="0" t="s">
        <v>4350</v>
      </c>
    </row>
    <row customHeight="1" ht="11.25">
      <c r="A204" s="0" t="s">
        <v>16</v>
      </c>
      <c r="B204" s="0" t="s">
        <v>4330</v>
      </c>
      <c r="C204" s="0" t="s">
        <v>4331</v>
      </c>
      <c r="D204" s="0" t="s">
        <v>4351</v>
      </c>
      <c r="E204" s="0" t="s">
        <v>4352</v>
      </c>
      <c r="F204" s="0" t="s">
        <v>3816</v>
      </c>
      <c r="G204" s="0" t="s">
        <v>4353</v>
      </c>
    </row>
    <row customHeight="1" ht="11.25">
      <c r="A205" s="0" t="s">
        <v>16</v>
      </c>
      <c r="B205" s="0" t="s">
        <v>4330</v>
      </c>
      <c r="C205" s="0" t="s">
        <v>4331</v>
      </c>
      <c r="D205" s="0" t="s">
        <v>4354</v>
      </c>
      <c r="E205" s="0" t="s">
        <v>4355</v>
      </c>
      <c r="F205" s="0" t="s">
        <v>3816</v>
      </c>
      <c r="G205" s="0" t="s">
        <v>4356</v>
      </c>
    </row>
    <row customHeight="1" ht="11.25">
      <c r="A206" s="0" t="s">
        <v>16</v>
      </c>
      <c r="B206" s="0" t="s">
        <v>4330</v>
      </c>
      <c r="C206" s="0" t="s">
        <v>4331</v>
      </c>
      <c r="D206" s="0" t="s">
        <v>4357</v>
      </c>
      <c r="E206" s="0" t="s">
        <v>4358</v>
      </c>
      <c r="F206" s="0" t="s">
        <v>3809</v>
      </c>
      <c r="G206" s="0" t="s">
        <v>4359</v>
      </c>
    </row>
    <row customHeight="1" ht="11.25">
      <c r="A207" s="0" t="s">
        <v>16</v>
      </c>
      <c r="B207" s="0" t="s">
        <v>4330</v>
      </c>
      <c r="C207" s="0" t="s">
        <v>4331</v>
      </c>
      <c r="D207" s="0" t="s">
        <v>4360</v>
      </c>
      <c r="E207" s="0" t="s">
        <v>4361</v>
      </c>
      <c r="F207" s="0" t="s">
        <v>3809</v>
      </c>
      <c r="G207" s="0" t="s">
        <v>4362</v>
      </c>
    </row>
    <row customHeight="1" ht="11.25">
      <c r="A208" s="0" t="s">
        <v>16</v>
      </c>
      <c r="B208" s="0" t="s">
        <v>4363</v>
      </c>
      <c r="C208" s="0" t="s">
        <v>4364</v>
      </c>
      <c r="D208" s="0" t="s">
        <v>4365</v>
      </c>
      <c r="E208" s="0" t="s">
        <v>4366</v>
      </c>
      <c r="F208" s="0" t="s">
        <v>3809</v>
      </c>
      <c r="G208" s="0" t="s">
        <v>4367</v>
      </c>
    </row>
    <row customHeight="1" ht="11.25">
      <c r="A209" s="0" t="s">
        <v>16</v>
      </c>
      <c r="B209" s="0" t="s">
        <v>4363</v>
      </c>
      <c r="C209" s="0" t="s">
        <v>4364</v>
      </c>
      <c r="D209" s="0" t="s">
        <v>4363</v>
      </c>
      <c r="E209" s="0" t="s">
        <v>4364</v>
      </c>
      <c r="F209" s="0" t="s">
        <v>3806</v>
      </c>
      <c r="G209" s="0" t="s">
        <v>4368</v>
      </c>
    </row>
    <row customHeight="1" ht="11.25">
      <c r="A210" s="0" t="s">
        <v>16</v>
      </c>
      <c r="B210" s="0" t="s">
        <v>4363</v>
      </c>
      <c r="C210" s="0" t="s">
        <v>4364</v>
      </c>
      <c r="D210" s="0" t="s">
        <v>4369</v>
      </c>
      <c r="E210" s="0" t="s">
        <v>4370</v>
      </c>
      <c r="F210" s="0" t="s">
        <v>3809</v>
      </c>
      <c r="G210" s="0" t="s">
        <v>4371</v>
      </c>
    </row>
    <row customHeight="1" ht="11.25">
      <c r="A211" s="0" t="s">
        <v>16</v>
      </c>
      <c r="B211" s="0" t="s">
        <v>4363</v>
      </c>
      <c r="C211" s="0" t="s">
        <v>4364</v>
      </c>
      <c r="D211" s="0" t="s">
        <v>4372</v>
      </c>
      <c r="E211" s="0" t="s">
        <v>4373</v>
      </c>
      <c r="F211" s="0" t="s">
        <v>3809</v>
      </c>
      <c r="G211" s="0" t="s">
        <v>4374</v>
      </c>
    </row>
    <row customHeight="1" ht="11.25">
      <c r="A212" s="0" t="s">
        <v>16</v>
      </c>
      <c r="B212" s="0" t="s">
        <v>4363</v>
      </c>
      <c r="C212" s="0" t="s">
        <v>4364</v>
      </c>
      <c r="D212" s="0" t="s">
        <v>4375</v>
      </c>
      <c r="E212" s="0" t="s">
        <v>4376</v>
      </c>
      <c r="F212" s="0" t="s">
        <v>3809</v>
      </c>
      <c r="G212" s="0" t="s">
        <v>4377</v>
      </c>
    </row>
    <row customHeight="1" ht="11.25">
      <c r="A213" s="0" t="s">
        <v>16</v>
      </c>
      <c r="B213" s="0" t="s">
        <v>4363</v>
      </c>
      <c r="C213" s="0" t="s">
        <v>4364</v>
      </c>
      <c r="D213" s="0" t="s">
        <v>4378</v>
      </c>
      <c r="E213" s="0" t="s">
        <v>4379</v>
      </c>
      <c r="F213" s="0" t="s">
        <v>3809</v>
      </c>
      <c r="G213" s="0" t="s">
        <v>4380</v>
      </c>
    </row>
    <row customHeight="1" ht="11.25">
      <c r="A214" s="0" t="s">
        <v>16</v>
      </c>
      <c r="B214" s="0" t="s">
        <v>4363</v>
      </c>
      <c r="C214" s="0" t="s">
        <v>4364</v>
      </c>
      <c r="D214" s="0" t="s">
        <v>4381</v>
      </c>
      <c r="E214" s="0" t="s">
        <v>4382</v>
      </c>
      <c r="F214" s="0" t="s">
        <v>3809</v>
      </c>
      <c r="G214" s="0" t="s">
        <v>4383</v>
      </c>
    </row>
    <row customHeight="1" ht="11.25">
      <c r="A215" s="0" t="s">
        <v>16</v>
      </c>
      <c r="B215" s="0" t="s">
        <v>4384</v>
      </c>
      <c r="C215" s="0" t="s">
        <v>4385</v>
      </c>
      <c r="D215" s="0" t="s">
        <v>4386</v>
      </c>
      <c r="E215" s="0" t="s">
        <v>4387</v>
      </c>
      <c r="F215" s="0" t="s">
        <v>3809</v>
      </c>
      <c r="G215" s="0" t="s">
        <v>4388</v>
      </c>
    </row>
    <row customHeight="1" ht="11.25">
      <c r="A216" s="0" t="s">
        <v>16</v>
      </c>
      <c r="B216" s="0" t="s">
        <v>4384</v>
      </c>
      <c r="C216" s="0" t="s">
        <v>4385</v>
      </c>
      <c r="D216" s="0" t="s">
        <v>3863</v>
      </c>
      <c r="E216" s="0" t="s">
        <v>4389</v>
      </c>
      <c r="F216" s="0" t="s">
        <v>3809</v>
      </c>
      <c r="G216" s="0" t="s">
        <v>4390</v>
      </c>
    </row>
    <row customHeight="1" ht="11.25">
      <c r="A217" s="0" t="s">
        <v>16</v>
      </c>
      <c r="B217" s="0" t="s">
        <v>4384</v>
      </c>
      <c r="C217" s="0" t="s">
        <v>4385</v>
      </c>
      <c r="D217" s="0" t="s">
        <v>4391</v>
      </c>
      <c r="E217" s="0" t="s">
        <v>4392</v>
      </c>
      <c r="F217" s="0" t="s">
        <v>3809</v>
      </c>
      <c r="G217" s="0" t="s">
        <v>4393</v>
      </c>
    </row>
    <row customHeight="1" ht="11.25">
      <c r="A218" s="0" t="s">
        <v>16</v>
      </c>
      <c r="B218" s="0" t="s">
        <v>4384</v>
      </c>
      <c r="C218" s="0" t="s">
        <v>4385</v>
      </c>
      <c r="D218" s="0" t="s">
        <v>4394</v>
      </c>
      <c r="E218" s="0" t="s">
        <v>4395</v>
      </c>
      <c r="F218" s="0" t="s">
        <v>3809</v>
      </c>
      <c r="G218" s="0" t="s">
        <v>4396</v>
      </c>
    </row>
    <row customHeight="1" ht="11.25">
      <c r="A219" s="0" t="s">
        <v>16</v>
      </c>
      <c r="B219" s="0" t="s">
        <v>4384</v>
      </c>
      <c r="C219" s="0" t="s">
        <v>4385</v>
      </c>
      <c r="D219" s="0" t="s">
        <v>4397</v>
      </c>
      <c r="E219" s="0" t="s">
        <v>4398</v>
      </c>
      <c r="F219" s="0" t="s">
        <v>3809</v>
      </c>
      <c r="G219" s="0" t="s">
        <v>4399</v>
      </c>
    </row>
    <row customHeight="1" ht="11.25">
      <c r="A220" s="0" t="s">
        <v>16</v>
      </c>
      <c r="B220" s="0" t="s">
        <v>4384</v>
      </c>
      <c r="C220" s="0" t="s">
        <v>4385</v>
      </c>
      <c r="D220" s="0" t="s">
        <v>4400</v>
      </c>
      <c r="E220" s="0" t="s">
        <v>4401</v>
      </c>
      <c r="F220" s="0" t="s">
        <v>3809</v>
      </c>
      <c r="G220" s="0" t="s">
        <v>4402</v>
      </c>
    </row>
    <row customHeight="1" ht="11.25">
      <c r="A221" s="0" t="s">
        <v>16</v>
      </c>
      <c r="B221" s="0" t="s">
        <v>4384</v>
      </c>
      <c r="C221" s="0" t="s">
        <v>4385</v>
      </c>
      <c r="D221" s="0" t="s">
        <v>4403</v>
      </c>
      <c r="E221" s="0" t="s">
        <v>4404</v>
      </c>
      <c r="F221" s="0" t="s">
        <v>3809</v>
      </c>
      <c r="G221" s="0" t="s">
        <v>4405</v>
      </c>
    </row>
    <row customHeight="1" ht="11.25">
      <c r="A222" s="0" t="s">
        <v>16</v>
      </c>
      <c r="B222" s="0" t="s">
        <v>4384</v>
      </c>
      <c r="C222" s="0" t="s">
        <v>4385</v>
      </c>
      <c r="D222" s="0" t="s">
        <v>4406</v>
      </c>
      <c r="E222" s="0" t="s">
        <v>4407</v>
      </c>
      <c r="F222" s="0" t="s">
        <v>3809</v>
      </c>
      <c r="G222" s="0" t="s">
        <v>4408</v>
      </c>
    </row>
    <row customHeight="1" ht="11.25">
      <c r="A223" s="0" t="s">
        <v>16</v>
      </c>
      <c r="B223" s="0" t="s">
        <v>4384</v>
      </c>
      <c r="C223" s="0" t="s">
        <v>4385</v>
      </c>
      <c r="D223" s="0" t="s">
        <v>4384</v>
      </c>
      <c r="E223" s="0" t="s">
        <v>4385</v>
      </c>
      <c r="F223" s="0" t="s">
        <v>3806</v>
      </c>
      <c r="G223" s="0" t="s">
        <v>4409</v>
      </c>
    </row>
    <row customHeight="1" ht="11.25">
      <c r="A224" s="0" t="s">
        <v>16</v>
      </c>
      <c r="B224" s="0" t="s">
        <v>4384</v>
      </c>
      <c r="C224" s="0" t="s">
        <v>4385</v>
      </c>
      <c r="D224" s="0" t="s">
        <v>4410</v>
      </c>
      <c r="E224" s="0" t="s">
        <v>4411</v>
      </c>
      <c r="F224" s="0" t="s">
        <v>3809</v>
      </c>
      <c r="G224" s="0" t="s">
        <v>4412</v>
      </c>
    </row>
    <row customHeight="1" ht="11.25">
      <c r="A225" s="0" t="s">
        <v>16</v>
      </c>
      <c r="B225" s="0" t="s">
        <v>4384</v>
      </c>
      <c r="C225" s="0" t="s">
        <v>4385</v>
      </c>
      <c r="D225" s="0" t="s">
        <v>4413</v>
      </c>
      <c r="E225" s="0" t="s">
        <v>4414</v>
      </c>
      <c r="F225" s="0" t="s">
        <v>3809</v>
      </c>
      <c r="G225" s="0" t="s">
        <v>4415</v>
      </c>
    </row>
    <row customHeight="1" ht="11.25">
      <c r="A226" s="0" t="s">
        <v>16</v>
      </c>
      <c r="B226" s="0" t="s">
        <v>4384</v>
      </c>
      <c r="C226" s="0" t="s">
        <v>4385</v>
      </c>
      <c r="D226" s="0" t="s">
        <v>4416</v>
      </c>
      <c r="E226" s="0" t="s">
        <v>4417</v>
      </c>
      <c r="F226" s="0" t="s">
        <v>3809</v>
      </c>
      <c r="G226" s="0" t="s">
        <v>4418</v>
      </c>
    </row>
    <row customHeight="1" ht="11.25">
      <c r="A227" s="0" t="s">
        <v>16</v>
      </c>
      <c r="B227" s="0" t="s">
        <v>4384</v>
      </c>
      <c r="C227" s="0" t="s">
        <v>4385</v>
      </c>
      <c r="D227" s="0" t="s">
        <v>4419</v>
      </c>
      <c r="E227" s="0" t="s">
        <v>4420</v>
      </c>
      <c r="F227" s="0" t="s">
        <v>3809</v>
      </c>
      <c r="G227" s="0" t="s">
        <v>4421</v>
      </c>
    </row>
    <row customHeight="1" ht="11.25">
      <c r="A228" s="0" t="s">
        <v>16</v>
      </c>
      <c r="B228" s="0" t="s">
        <v>4384</v>
      </c>
      <c r="C228" s="0" t="s">
        <v>4385</v>
      </c>
      <c r="D228" s="0" t="s">
        <v>4422</v>
      </c>
      <c r="E228" s="0" t="s">
        <v>4423</v>
      </c>
      <c r="F228" s="0" t="s">
        <v>3809</v>
      </c>
      <c r="G228" s="0" t="s">
        <v>4424</v>
      </c>
    </row>
    <row customHeight="1" ht="11.25">
      <c r="A229" s="0" t="s">
        <v>16</v>
      </c>
      <c r="B229" s="0" t="s">
        <v>4384</v>
      </c>
      <c r="C229" s="0" t="s">
        <v>4385</v>
      </c>
      <c r="D229" s="0" t="s">
        <v>4425</v>
      </c>
      <c r="E229" s="0" t="s">
        <v>4426</v>
      </c>
      <c r="F229" s="0" t="s">
        <v>3809</v>
      </c>
      <c r="G229" s="0" t="s">
        <v>4427</v>
      </c>
    </row>
    <row customHeight="1" ht="11.25">
      <c r="A230" s="0" t="s">
        <v>16</v>
      </c>
      <c r="B230" s="0" t="s">
        <v>4384</v>
      </c>
      <c r="C230" s="0" t="s">
        <v>4385</v>
      </c>
      <c r="D230" s="0" t="s">
        <v>4428</v>
      </c>
      <c r="E230" s="0" t="s">
        <v>4429</v>
      </c>
      <c r="F230" s="0" t="s">
        <v>3809</v>
      </c>
      <c r="G230" s="0" t="s">
        <v>4430</v>
      </c>
    </row>
    <row customHeight="1" ht="11.25">
      <c r="A231" s="0" t="s">
        <v>16</v>
      </c>
      <c r="B231" s="0" t="s">
        <v>4384</v>
      </c>
      <c r="C231" s="0" t="s">
        <v>4385</v>
      </c>
      <c r="D231" s="0" t="s">
        <v>4431</v>
      </c>
      <c r="E231" s="0" t="s">
        <v>4432</v>
      </c>
      <c r="F231" s="0" t="s">
        <v>3809</v>
      </c>
      <c r="G231" s="0" t="s">
        <v>4433</v>
      </c>
    </row>
    <row customHeight="1" ht="11.25">
      <c r="A232" s="0" t="s">
        <v>16</v>
      </c>
      <c r="B232" s="0" t="s">
        <v>4384</v>
      </c>
      <c r="C232" s="0" t="s">
        <v>4385</v>
      </c>
      <c r="D232" s="0" t="s">
        <v>4434</v>
      </c>
      <c r="E232" s="0" t="s">
        <v>4435</v>
      </c>
      <c r="F232" s="0" t="s">
        <v>3809</v>
      </c>
      <c r="G232" s="0" t="s">
        <v>4436</v>
      </c>
    </row>
    <row customHeight="1" ht="11.25">
      <c r="A233" s="0" t="s">
        <v>16</v>
      </c>
      <c r="B233" s="0" t="s">
        <v>4384</v>
      </c>
      <c r="C233" s="0" t="s">
        <v>4385</v>
      </c>
      <c r="D233" s="0" t="s">
        <v>4437</v>
      </c>
      <c r="E233" s="0" t="s">
        <v>4438</v>
      </c>
      <c r="F233" s="0" t="s">
        <v>3809</v>
      </c>
      <c r="G233" s="0" t="s">
        <v>4439</v>
      </c>
    </row>
    <row customHeight="1" ht="11.25">
      <c r="A234" s="0" t="s">
        <v>16</v>
      </c>
      <c r="B234" s="0" t="s">
        <v>4384</v>
      </c>
      <c r="C234" s="0" t="s">
        <v>4385</v>
      </c>
      <c r="D234" s="0" t="s">
        <v>4440</v>
      </c>
      <c r="E234" s="0" t="s">
        <v>4441</v>
      </c>
      <c r="F234" s="0" t="s">
        <v>3809</v>
      </c>
      <c r="G234" s="0" t="s">
        <v>4442</v>
      </c>
    </row>
    <row customHeight="1" ht="11.25">
      <c r="A235" s="0" t="s">
        <v>16</v>
      </c>
      <c r="B235" s="0" t="s">
        <v>101</v>
      </c>
      <c r="C235" s="0" t="s">
        <v>4443</v>
      </c>
      <c r="D235" s="0" t="s">
        <v>4444</v>
      </c>
      <c r="E235" s="0" t="s">
        <v>4445</v>
      </c>
      <c r="F235" s="0" t="s">
        <v>3809</v>
      </c>
      <c r="G235" s="0" t="s">
        <v>4446</v>
      </c>
    </row>
    <row customHeight="1" ht="11.25">
      <c r="A236" s="0" t="s">
        <v>16</v>
      </c>
      <c r="B236" s="0" t="s">
        <v>101</v>
      </c>
      <c r="C236" s="0" t="s">
        <v>4443</v>
      </c>
      <c r="D236" s="0" t="s">
        <v>4447</v>
      </c>
      <c r="E236" s="0" t="s">
        <v>4448</v>
      </c>
      <c r="F236" s="0" t="s">
        <v>3846</v>
      </c>
      <c r="G236" s="0" t="s">
        <v>4449</v>
      </c>
    </row>
    <row customHeight="1" ht="11.25">
      <c r="A237" s="0" t="s">
        <v>16</v>
      </c>
      <c r="B237" s="0" t="s">
        <v>101</v>
      </c>
      <c r="C237" s="0" t="s">
        <v>4443</v>
      </c>
      <c r="D237" s="0" t="s">
        <v>101</v>
      </c>
      <c r="E237" s="0" t="s">
        <v>4443</v>
      </c>
      <c r="F237" s="0" t="s">
        <v>3806</v>
      </c>
      <c r="G237" s="0" t="s">
        <v>4450</v>
      </c>
    </row>
    <row customHeight="1" ht="11.25">
      <c r="A238" s="0" t="s">
        <v>16</v>
      </c>
      <c r="B238" s="0" t="s">
        <v>101</v>
      </c>
      <c r="C238" s="0" t="s">
        <v>4443</v>
      </c>
      <c r="D238" s="0" t="s">
        <v>4451</v>
      </c>
      <c r="E238" s="0" t="s">
        <v>4452</v>
      </c>
      <c r="F238" s="0" t="s">
        <v>3816</v>
      </c>
      <c r="G238" s="0" t="s">
        <v>4453</v>
      </c>
    </row>
    <row customHeight="1" ht="11.25">
      <c r="A239" s="0" t="s">
        <v>16</v>
      </c>
      <c r="B239" s="0" t="s">
        <v>101</v>
      </c>
      <c r="C239" s="0" t="s">
        <v>4443</v>
      </c>
      <c r="D239" s="0" t="s">
        <v>4454</v>
      </c>
      <c r="E239" s="0" t="s">
        <v>4455</v>
      </c>
      <c r="F239" s="0" t="s">
        <v>3816</v>
      </c>
      <c r="G239" s="0" t="s">
        <v>4456</v>
      </c>
    </row>
    <row customHeight="1" ht="11.25">
      <c r="A240" s="0" t="s">
        <v>16</v>
      </c>
      <c r="B240" s="0" t="s">
        <v>101</v>
      </c>
      <c r="C240" s="0" t="s">
        <v>4443</v>
      </c>
      <c r="D240" s="0" t="s">
        <v>4457</v>
      </c>
      <c r="E240" s="0" t="s">
        <v>4458</v>
      </c>
      <c r="F240" s="0" t="s">
        <v>3816</v>
      </c>
      <c r="G240" s="0" t="s">
        <v>4459</v>
      </c>
    </row>
    <row customHeight="1" ht="11.25">
      <c r="A241" s="0" t="s">
        <v>16</v>
      </c>
      <c r="B241" s="0" t="s">
        <v>101</v>
      </c>
      <c r="C241" s="0" t="s">
        <v>4443</v>
      </c>
      <c r="D241" s="0" t="s">
        <v>4460</v>
      </c>
      <c r="E241" s="0" t="s">
        <v>4461</v>
      </c>
      <c r="F241" s="0" t="s">
        <v>3816</v>
      </c>
      <c r="G241" s="0" t="s">
        <v>4462</v>
      </c>
    </row>
    <row customHeight="1" ht="11.25">
      <c r="A242" s="0" t="s">
        <v>16</v>
      </c>
      <c r="B242" s="0" t="s">
        <v>101</v>
      </c>
      <c r="C242" s="0" t="s">
        <v>4443</v>
      </c>
      <c r="D242" s="0" t="s">
        <v>4463</v>
      </c>
      <c r="E242" s="0" t="s">
        <v>4464</v>
      </c>
      <c r="F242" s="0" t="s">
        <v>3816</v>
      </c>
      <c r="G242" s="0" t="s">
        <v>4465</v>
      </c>
    </row>
    <row customHeight="1" ht="11.25">
      <c r="A243" s="0" t="s">
        <v>16</v>
      </c>
      <c r="B243" s="0" t="s">
        <v>4466</v>
      </c>
      <c r="C243" s="0" t="s">
        <v>4467</v>
      </c>
      <c r="D243" s="0" t="s">
        <v>4468</v>
      </c>
      <c r="E243" s="0" t="s">
        <v>4469</v>
      </c>
      <c r="F243" s="0" t="s">
        <v>3809</v>
      </c>
      <c r="G243" s="0" t="s">
        <v>4470</v>
      </c>
    </row>
    <row customHeight="1" ht="11.25">
      <c r="A244" s="0" t="s">
        <v>16</v>
      </c>
      <c r="B244" s="0" t="s">
        <v>4466</v>
      </c>
      <c r="C244" s="0" t="s">
        <v>4467</v>
      </c>
      <c r="D244" s="0" t="s">
        <v>4466</v>
      </c>
      <c r="E244" s="0" t="s">
        <v>4467</v>
      </c>
      <c r="F244" s="0" t="s">
        <v>3806</v>
      </c>
      <c r="G244" s="0" t="s">
        <v>4471</v>
      </c>
    </row>
    <row customHeight="1" ht="11.25">
      <c r="A245" s="0" t="s">
        <v>16</v>
      </c>
      <c r="B245" s="0" t="s">
        <v>4466</v>
      </c>
      <c r="C245" s="0" t="s">
        <v>4467</v>
      </c>
      <c r="D245" s="0" t="s">
        <v>4472</v>
      </c>
      <c r="E245" s="0" t="s">
        <v>4473</v>
      </c>
      <c r="F245" s="0" t="s">
        <v>3816</v>
      </c>
      <c r="G245" s="0" t="s">
        <v>4474</v>
      </c>
    </row>
    <row customHeight="1" ht="11.25">
      <c r="A246" s="0" t="s">
        <v>16</v>
      </c>
      <c r="B246" s="0" t="s">
        <v>4466</v>
      </c>
      <c r="C246" s="0" t="s">
        <v>4467</v>
      </c>
      <c r="D246" s="0" t="s">
        <v>4475</v>
      </c>
      <c r="E246" s="0" t="s">
        <v>4476</v>
      </c>
      <c r="F246" s="0" t="s">
        <v>3809</v>
      </c>
      <c r="G246" s="0" t="s">
        <v>4477</v>
      </c>
    </row>
    <row customHeight="1" ht="11.25">
      <c r="A247" s="0" t="s">
        <v>16</v>
      </c>
      <c r="B247" s="0" t="s">
        <v>4466</v>
      </c>
      <c r="C247" s="0" t="s">
        <v>4467</v>
      </c>
      <c r="D247" s="0" t="s">
        <v>4478</v>
      </c>
      <c r="E247" s="0" t="s">
        <v>4479</v>
      </c>
      <c r="F247" s="0" t="s">
        <v>3809</v>
      </c>
      <c r="G247" s="0" t="s">
        <v>4480</v>
      </c>
    </row>
    <row customHeight="1" ht="11.25">
      <c r="A248" s="0" t="s">
        <v>16</v>
      </c>
      <c r="B248" s="0" t="s">
        <v>4481</v>
      </c>
      <c r="C248" s="0" t="s">
        <v>4482</v>
      </c>
      <c r="D248" s="0" t="s">
        <v>4483</v>
      </c>
      <c r="E248" s="0" t="s">
        <v>4484</v>
      </c>
      <c r="F248" s="0" t="s">
        <v>3809</v>
      </c>
      <c r="G248" s="0" t="s">
        <v>4485</v>
      </c>
    </row>
    <row customHeight="1" ht="11.25">
      <c r="A249" s="0" t="s">
        <v>16</v>
      </c>
      <c r="B249" s="0" t="s">
        <v>4481</v>
      </c>
      <c r="C249" s="0" t="s">
        <v>4482</v>
      </c>
      <c r="D249" s="0" t="s">
        <v>4486</v>
      </c>
      <c r="E249" s="0" t="s">
        <v>4487</v>
      </c>
      <c r="F249" s="0" t="s">
        <v>3809</v>
      </c>
      <c r="G249" s="0" t="s">
        <v>4488</v>
      </c>
    </row>
    <row customHeight="1" ht="11.25">
      <c r="A250" s="0" t="s">
        <v>16</v>
      </c>
      <c r="B250" s="0" t="s">
        <v>4481</v>
      </c>
      <c r="C250" s="0" t="s">
        <v>4482</v>
      </c>
      <c r="D250" s="0" t="s">
        <v>4489</v>
      </c>
      <c r="E250" s="0" t="s">
        <v>4490</v>
      </c>
      <c r="F250" s="0" t="s">
        <v>3827</v>
      </c>
      <c r="G250" s="0" t="s">
        <v>4491</v>
      </c>
    </row>
    <row customHeight="1" ht="11.25">
      <c r="A251" s="0" t="s">
        <v>16</v>
      </c>
      <c r="B251" s="0" t="s">
        <v>4481</v>
      </c>
      <c r="C251" s="0" t="s">
        <v>4482</v>
      </c>
      <c r="D251" s="0" t="s">
        <v>4492</v>
      </c>
      <c r="E251" s="0" t="s">
        <v>4493</v>
      </c>
      <c r="F251" s="0" t="s">
        <v>3809</v>
      </c>
      <c r="G251" s="0" t="s">
        <v>4494</v>
      </c>
    </row>
    <row customHeight="1" ht="11.25">
      <c r="A252" s="0" t="s">
        <v>16</v>
      </c>
      <c r="B252" s="0" t="s">
        <v>4481</v>
      </c>
      <c r="C252" s="0" t="s">
        <v>4482</v>
      </c>
      <c r="D252" s="0" t="s">
        <v>4391</v>
      </c>
      <c r="E252" s="0" t="s">
        <v>4495</v>
      </c>
      <c r="F252" s="0" t="s">
        <v>3809</v>
      </c>
      <c r="G252" s="0" t="s">
        <v>4496</v>
      </c>
    </row>
    <row customHeight="1" ht="11.25">
      <c r="A253" s="0" t="s">
        <v>16</v>
      </c>
      <c r="B253" s="0" t="s">
        <v>4481</v>
      </c>
      <c r="C253" s="0" t="s">
        <v>4482</v>
      </c>
      <c r="D253" s="0" t="s">
        <v>4497</v>
      </c>
      <c r="E253" s="0" t="s">
        <v>4498</v>
      </c>
      <c r="F253" s="0" t="s">
        <v>3809</v>
      </c>
      <c r="G253" s="0" t="s">
        <v>4499</v>
      </c>
    </row>
    <row customHeight="1" ht="11.25">
      <c r="A254" s="0" t="s">
        <v>16</v>
      </c>
      <c r="B254" s="0" t="s">
        <v>4481</v>
      </c>
      <c r="C254" s="0" t="s">
        <v>4482</v>
      </c>
      <c r="D254" s="0" t="s">
        <v>4500</v>
      </c>
      <c r="E254" s="0" t="s">
        <v>4501</v>
      </c>
      <c r="F254" s="0" t="s">
        <v>3809</v>
      </c>
      <c r="G254" s="0" t="s">
        <v>4502</v>
      </c>
    </row>
    <row customHeight="1" ht="11.25">
      <c r="A255" s="0" t="s">
        <v>16</v>
      </c>
      <c r="B255" s="0" t="s">
        <v>4481</v>
      </c>
      <c r="C255" s="0" t="s">
        <v>4482</v>
      </c>
      <c r="D255" s="0" t="s">
        <v>4503</v>
      </c>
      <c r="E255" s="0" t="s">
        <v>4504</v>
      </c>
      <c r="F255" s="0" t="s">
        <v>3809</v>
      </c>
      <c r="G255" s="0" t="s">
        <v>4505</v>
      </c>
    </row>
    <row customHeight="1" ht="11.25">
      <c r="A256" s="0" t="s">
        <v>16</v>
      </c>
      <c r="B256" s="0" t="s">
        <v>4481</v>
      </c>
      <c r="C256" s="0" t="s">
        <v>4482</v>
      </c>
      <c r="D256" s="0" t="s">
        <v>4506</v>
      </c>
      <c r="E256" s="0" t="s">
        <v>4507</v>
      </c>
      <c r="F256" s="0" t="s">
        <v>3809</v>
      </c>
      <c r="G256" s="0" t="s">
        <v>4508</v>
      </c>
    </row>
    <row customHeight="1" ht="11.25">
      <c r="A257" s="0" t="s">
        <v>16</v>
      </c>
      <c r="B257" s="0" t="s">
        <v>4481</v>
      </c>
      <c r="C257" s="0" t="s">
        <v>4482</v>
      </c>
      <c r="D257" s="0" t="s">
        <v>4509</v>
      </c>
      <c r="E257" s="0" t="s">
        <v>4510</v>
      </c>
      <c r="F257" s="0" t="s">
        <v>3809</v>
      </c>
      <c r="G257" s="0" t="s">
        <v>4511</v>
      </c>
    </row>
    <row customHeight="1" ht="11.25">
      <c r="A258" s="0" t="s">
        <v>16</v>
      </c>
      <c r="B258" s="0" t="s">
        <v>4481</v>
      </c>
      <c r="C258" s="0" t="s">
        <v>4482</v>
      </c>
      <c r="D258" s="0" t="s">
        <v>4512</v>
      </c>
      <c r="E258" s="0" t="s">
        <v>4513</v>
      </c>
      <c r="F258" s="0" t="s">
        <v>3809</v>
      </c>
      <c r="G258" s="0" t="s">
        <v>4514</v>
      </c>
    </row>
    <row customHeight="1" ht="11.25">
      <c r="A259" s="0" t="s">
        <v>16</v>
      </c>
      <c r="B259" s="0" t="s">
        <v>4481</v>
      </c>
      <c r="C259" s="0" t="s">
        <v>4482</v>
      </c>
      <c r="D259" s="0" t="s">
        <v>4515</v>
      </c>
      <c r="E259" s="0" t="s">
        <v>4516</v>
      </c>
      <c r="F259" s="0" t="s">
        <v>3809</v>
      </c>
      <c r="G259" s="0" t="s">
        <v>4517</v>
      </c>
    </row>
    <row customHeight="1" ht="11.25">
      <c r="A260" s="0" t="s">
        <v>16</v>
      </c>
      <c r="B260" s="0" t="s">
        <v>4481</v>
      </c>
      <c r="C260" s="0" t="s">
        <v>4482</v>
      </c>
      <c r="D260" s="0" t="s">
        <v>4481</v>
      </c>
      <c r="E260" s="0" t="s">
        <v>4482</v>
      </c>
      <c r="F260" s="0" t="s">
        <v>3806</v>
      </c>
      <c r="G260" s="0" t="s">
        <v>4518</v>
      </c>
    </row>
    <row customHeight="1" ht="11.25">
      <c r="A261" s="0" t="s">
        <v>16</v>
      </c>
      <c r="B261" s="0" t="s">
        <v>4481</v>
      </c>
      <c r="C261" s="0" t="s">
        <v>4482</v>
      </c>
      <c r="D261" s="0" t="s">
        <v>4123</v>
      </c>
      <c r="E261" s="0" t="s">
        <v>4519</v>
      </c>
      <c r="F261" s="0" t="s">
        <v>3809</v>
      </c>
      <c r="G261" s="0" t="s">
        <v>4520</v>
      </c>
    </row>
    <row customHeight="1" ht="11.25">
      <c r="A262" s="0" t="s">
        <v>16</v>
      </c>
      <c r="B262" s="0" t="s">
        <v>4481</v>
      </c>
      <c r="C262" s="0" t="s">
        <v>4482</v>
      </c>
      <c r="D262" s="0" t="s">
        <v>4521</v>
      </c>
      <c r="E262" s="0" t="s">
        <v>4522</v>
      </c>
      <c r="F262" s="0" t="s">
        <v>3809</v>
      </c>
      <c r="G262" s="0" t="s">
        <v>4523</v>
      </c>
    </row>
    <row customHeight="1" ht="11.25">
      <c r="A263" s="0" t="s">
        <v>16</v>
      </c>
      <c r="B263" s="0" t="s">
        <v>4481</v>
      </c>
      <c r="C263" s="0" t="s">
        <v>4482</v>
      </c>
      <c r="D263" s="0" t="s">
        <v>4524</v>
      </c>
      <c r="E263" s="0" t="s">
        <v>4525</v>
      </c>
      <c r="F263" s="0" t="s">
        <v>3809</v>
      </c>
      <c r="G263" s="0" t="s">
        <v>4526</v>
      </c>
    </row>
    <row customHeight="1" ht="11.25">
      <c r="A264" s="0" t="s">
        <v>16</v>
      </c>
      <c r="B264" s="0" t="s">
        <v>4481</v>
      </c>
      <c r="C264" s="0" t="s">
        <v>4482</v>
      </c>
      <c r="D264" s="0" t="s">
        <v>4527</v>
      </c>
      <c r="E264" s="0" t="s">
        <v>4528</v>
      </c>
      <c r="F264" s="0" t="s">
        <v>3809</v>
      </c>
      <c r="G264" s="0" t="s">
        <v>4529</v>
      </c>
    </row>
    <row customHeight="1" ht="11.25">
      <c r="A265" s="0" t="s">
        <v>16</v>
      </c>
      <c r="B265" s="0" t="s">
        <v>4481</v>
      </c>
      <c r="C265" s="0" t="s">
        <v>4482</v>
      </c>
      <c r="D265" s="0" t="s">
        <v>4530</v>
      </c>
      <c r="E265" s="0" t="s">
        <v>4531</v>
      </c>
      <c r="F265" s="0" t="s">
        <v>3809</v>
      </c>
      <c r="G265" s="0" t="s">
        <v>4532</v>
      </c>
    </row>
    <row customHeight="1" ht="11.25">
      <c r="A266" s="0" t="s">
        <v>16</v>
      </c>
      <c r="B266" s="0" t="s">
        <v>4481</v>
      </c>
      <c r="C266" s="0" t="s">
        <v>4482</v>
      </c>
      <c r="D266" s="0" t="s">
        <v>4533</v>
      </c>
      <c r="E266" s="0" t="s">
        <v>4534</v>
      </c>
      <c r="F266" s="0" t="s">
        <v>3809</v>
      </c>
      <c r="G266" s="0" t="s">
        <v>4535</v>
      </c>
    </row>
    <row customHeight="1" ht="11.25">
      <c r="A267" s="0" t="s">
        <v>16</v>
      </c>
      <c r="B267" s="0" t="s">
        <v>4481</v>
      </c>
      <c r="C267" s="0" t="s">
        <v>4482</v>
      </c>
      <c r="D267" s="0" t="s">
        <v>4536</v>
      </c>
      <c r="E267" s="0" t="s">
        <v>4537</v>
      </c>
      <c r="F267" s="0" t="s">
        <v>3809</v>
      </c>
      <c r="G267" s="0" t="s">
        <v>4538</v>
      </c>
    </row>
    <row customHeight="1" ht="11.25">
      <c r="A268" s="0" t="s">
        <v>16</v>
      </c>
      <c r="B268" s="0" t="s">
        <v>4539</v>
      </c>
      <c r="C268" s="0" t="s">
        <v>4540</v>
      </c>
      <c r="D268" s="0" t="s">
        <v>4541</v>
      </c>
      <c r="E268" s="0" t="s">
        <v>4542</v>
      </c>
      <c r="F268" s="0" t="s">
        <v>3809</v>
      </c>
      <c r="G268" s="0" t="s">
        <v>4543</v>
      </c>
    </row>
    <row customHeight="1" ht="11.25">
      <c r="A269" s="0" t="s">
        <v>16</v>
      </c>
      <c r="B269" s="0" t="s">
        <v>4539</v>
      </c>
      <c r="C269" s="0" t="s">
        <v>4540</v>
      </c>
      <c r="D269" s="0" t="s">
        <v>4544</v>
      </c>
      <c r="E269" s="0" t="s">
        <v>4545</v>
      </c>
      <c r="F269" s="0" t="s">
        <v>3846</v>
      </c>
      <c r="G269" s="0" t="s">
        <v>4546</v>
      </c>
    </row>
    <row customHeight="1" ht="11.25">
      <c r="A270" s="0" t="s">
        <v>16</v>
      </c>
      <c r="B270" s="0" t="s">
        <v>4539</v>
      </c>
      <c r="C270" s="0" t="s">
        <v>4540</v>
      </c>
      <c r="D270" s="0" t="s">
        <v>4547</v>
      </c>
      <c r="E270" s="0" t="s">
        <v>4548</v>
      </c>
      <c r="F270" s="0" t="s">
        <v>3809</v>
      </c>
      <c r="G270" s="0" t="s">
        <v>4549</v>
      </c>
    </row>
    <row customHeight="1" ht="11.25">
      <c r="A271" s="0" t="s">
        <v>16</v>
      </c>
      <c r="B271" s="0" t="s">
        <v>4539</v>
      </c>
      <c r="C271" s="0" t="s">
        <v>4540</v>
      </c>
      <c r="D271" s="0" t="s">
        <v>4539</v>
      </c>
      <c r="E271" s="0" t="s">
        <v>4540</v>
      </c>
      <c r="F271" s="0" t="s">
        <v>3806</v>
      </c>
      <c r="G271" s="0" t="s">
        <v>4550</v>
      </c>
    </row>
    <row customHeight="1" ht="11.25">
      <c r="A272" s="0" t="s">
        <v>16</v>
      </c>
      <c r="B272" s="0" t="s">
        <v>4539</v>
      </c>
      <c r="C272" s="0" t="s">
        <v>4540</v>
      </c>
      <c r="D272" s="0" t="s">
        <v>4551</v>
      </c>
      <c r="E272" s="0" t="s">
        <v>4552</v>
      </c>
      <c r="F272" s="0" t="s">
        <v>3816</v>
      </c>
      <c r="G272" s="0" t="s">
        <v>4553</v>
      </c>
    </row>
    <row customHeight="1" ht="11.25">
      <c r="A273" s="0" t="s">
        <v>16</v>
      </c>
      <c r="B273" s="0" t="s">
        <v>4539</v>
      </c>
      <c r="C273" s="0" t="s">
        <v>4540</v>
      </c>
      <c r="D273" s="0" t="s">
        <v>4554</v>
      </c>
      <c r="E273" s="0" t="s">
        <v>4555</v>
      </c>
      <c r="F273" s="0" t="s">
        <v>3816</v>
      </c>
      <c r="G273" s="0" t="s">
        <v>4556</v>
      </c>
    </row>
    <row customHeight="1" ht="11.25">
      <c r="A274" s="0" t="s">
        <v>16</v>
      </c>
      <c r="B274" s="0" t="s">
        <v>4539</v>
      </c>
      <c r="C274" s="0" t="s">
        <v>4540</v>
      </c>
      <c r="D274" s="0" t="s">
        <v>4557</v>
      </c>
      <c r="E274" s="0" t="s">
        <v>4558</v>
      </c>
      <c r="F274" s="0" t="s">
        <v>3809</v>
      </c>
      <c r="G274" s="0" t="s">
        <v>4559</v>
      </c>
    </row>
    <row customHeight="1" ht="11.25">
      <c r="A275" s="0" t="s">
        <v>16</v>
      </c>
      <c r="B275" s="0" t="s">
        <v>4539</v>
      </c>
      <c r="C275" s="0" t="s">
        <v>4540</v>
      </c>
      <c r="D275" s="0" t="s">
        <v>4560</v>
      </c>
      <c r="E275" s="0" t="s">
        <v>4561</v>
      </c>
      <c r="F275" s="0" t="s">
        <v>3809</v>
      </c>
      <c r="G275" s="0" t="s">
        <v>4562</v>
      </c>
    </row>
    <row customHeight="1" ht="11.25">
      <c r="A276" s="0" t="s">
        <v>16</v>
      </c>
      <c r="B276" s="0" t="s">
        <v>4539</v>
      </c>
      <c r="C276" s="0" t="s">
        <v>4540</v>
      </c>
      <c r="D276" s="0" t="s">
        <v>4563</v>
      </c>
      <c r="E276" s="0" t="s">
        <v>4564</v>
      </c>
      <c r="F276" s="0" t="s">
        <v>3809</v>
      </c>
      <c r="G276" s="0" t="s">
        <v>4565</v>
      </c>
    </row>
    <row customHeight="1" ht="11.25">
      <c r="A277" s="0" t="s">
        <v>16</v>
      </c>
      <c r="B277" s="0" t="s">
        <v>4566</v>
      </c>
      <c r="C277" s="0" t="s">
        <v>4567</v>
      </c>
      <c r="D277" s="0" t="s">
        <v>3855</v>
      </c>
      <c r="E277" s="0" t="s">
        <v>4568</v>
      </c>
      <c r="F277" s="0" t="s">
        <v>3809</v>
      </c>
      <c r="G277" s="0" t="s">
        <v>4569</v>
      </c>
    </row>
    <row customHeight="1" ht="11.25">
      <c r="A278" s="0" t="s">
        <v>16</v>
      </c>
      <c r="B278" s="0" t="s">
        <v>4566</v>
      </c>
      <c r="C278" s="0" t="s">
        <v>4567</v>
      </c>
      <c r="D278" s="0" t="s">
        <v>4570</v>
      </c>
      <c r="E278" s="0" t="s">
        <v>4571</v>
      </c>
      <c r="F278" s="0" t="s">
        <v>3827</v>
      </c>
      <c r="G278" s="0" t="s">
        <v>4572</v>
      </c>
    </row>
    <row customHeight="1" ht="11.25">
      <c r="A279" s="0" t="s">
        <v>16</v>
      </c>
      <c r="B279" s="0" t="s">
        <v>4566</v>
      </c>
      <c r="C279" s="0" t="s">
        <v>4567</v>
      </c>
      <c r="D279" s="0" t="s">
        <v>4573</v>
      </c>
      <c r="E279" s="0" t="s">
        <v>4574</v>
      </c>
      <c r="F279" s="0" t="s">
        <v>3809</v>
      </c>
      <c r="G279" s="0" t="s">
        <v>4575</v>
      </c>
    </row>
    <row customHeight="1" ht="11.25">
      <c r="A280" s="0" t="s">
        <v>16</v>
      </c>
      <c r="B280" s="0" t="s">
        <v>4566</v>
      </c>
      <c r="C280" s="0" t="s">
        <v>4567</v>
      </c>
      <c r="D280" s="0" t="s">
        <v>4576</v>
      </c>
      <c r="E280" s="0" t="s">
        <v>4577</v>
      </c>
      <c r="F280" s="0" t="s">
        <v>3809</v>
      </c>
      <c r="G280" s="0" t="s">
        <v>4578</v>
      </c>
    </row>
    <row customHeight="1" ht="11.25">
      <c r="A281" s="0" t="s">
        <v>16</v>
      </c>
      <c r="B281" s="0" t="s">
        <v>4566</v>
      </c>
      <c r="C281" s="0" t="s">
        <v>4567</v>
      </c>
      <c r="D281" s="0" t="s">
        <v>4579</v>
      </c>
      <c r="E281" s="0" t="s">
        <v>4580</v>
      </c>
      <c r="F281" s="0" t="s">
        <v>3809</v>
      </c>
      <c r="G281" s="0" t="s">
        <v>4581</v>
      </c>
    </row>
    <row customHeight="1" ht="11.25">
      <c r="A282" s="0" t="s">
        <v>16</v>
      </c>
      <c r="B282" s="0" t="s">
        <v>4566</v>
      </c>
      <c r="C282" s="0" t="s">
        <v>4567</v>
      </c>
      <c r="D282" s="0" t="s">
        <v>4582</v>
      </c>
      <c r="E282" s="0" t="s">
        <v>4583</v>
      </c>
      <c r="F282" s="0" t="s">
        <v>3809</v>
      </c>
      <c r="G282" s="0" t="s">
        <v>4584</v>
      </c>
    </row>
    <row customHeight="1" ht="11.25">
      <c r="A283" s="0" t="s">
        <v>16</v>
      </c>
      <c r="B283" s="0" t="s">
        <v>4566</v>
      </c>
      <c r="C283" s="0" t="s">
        <v>4567</v>
      </c>
      <c r="D283" s="0" t="s">
        <v>4585</v>
      </c>
      <c r="E283" s="0" t="s">
        <v>4586</v>
      </c>
      <c r="F283" s="0" t="s">
        <v>3809</v>
      </c>
      <c r="G283" s="0" t="s">
        <v>4587</v>
      </c>
    </row>
    <row customHeight="1" ht="11.25">
      <c r="A284" s="0" t="s">
        <v>16</v>
      </c>
      <c r="B284" s="0" t="s">
        <v>4566</v>
      </c>
      <c r="C284" s="0" t="s">
        <v>4567</v>
      </c>
      <c r="D284" s="0" t="s">
        <v>4588</v>
      </c>
      <c r="E284" s="0" t="s">
        <v>4589</v>
      </c>
      <c r="F284" s="0" t="s">
        <v>3809</v>
      </c>
      <c r="G284" s="0" t="s">
        <v>4590</v>
      </c>
    </row>
    <row customHeight="1" ht="11.25">
      <c r="A285" s="0" t="s">
        <v>16</v>
      </c>
      <c r="B285" s="0" t="s">
        <v>4566</v>
      </c>
      <c r="C285" s="0" t="s">
        <v>4567</v>
      </c>
      <c r="D285" s="0" t="s">
        <v>4506</v>
      </c>
      <c r="E285" s="0" t="s">
        <v>4591</v>
      </c>
      <c r="F285" s="0" t="s">
        <v>3809</v>
      </c>
      <c r="G285" s="0" t="s">
        <v>4592</v>
      </c>
    </row>
    <row customHeight="1" ht="11.25">
      <c r="A286" s="0" t="s">
        <v>16</v>
      </c>
      <c r="B286" s="0" t="s">
        <v>4566</v>
      </c>
      <c r="C286" s="0" t="s">
        <v>4567</v>
      </c>
      <c r="D286" s="0" t="s">
        <v>4593</v>
      </c>
      <c r="E286" s="0" t="s">
        <v>4594</v>
      </c>
      <c r="F286" s="0" t="s">
        <v>3809</v>
      </c>
      <c r="G286" s="0" t="s">
        <v>4595</v>
      </c>
    </row>
    <row customHeight="1" ht="11.25">
      <c r="A287" s="0" t="s">
        <v>16</v>
      </c>
      <c r="B287" s="0" t="s">
        <v>4566</v>
      </c>
      <c r="C287" s="0" t="s">
        <v>4567</v>
      </c>
      <c r="D287" s="0" t="s">
        <v>4596</v>
      </c>
      <c r="E287" s="0" t="s">
        <v>4597</v>
      </c>
      <c r="F287" s="0" t="s">
        <v>3809</v>
      </c>
      <c r="G287" s="0" t="s">
        <v>4598</v>
      </c>
    </row>
    <row customHeight="1" ht="11.25">
      <c r="A288" s="0" t="s">
        <v>16</v>
      </c>
      <c r="B288" s="0" t="s">
        <v>4566</v>
      </c>
      <c r="C288" s="0" t="s">
        <v>4567</v>
      </c>
      <c r="D288" s="0" t="s">
        <v>4599</v>
      </c>
      <c r="E288" s="0" t="s">
        <v>4600</v>
      </c>
      <c r="F288" s="0" t="s">
        <v>3809</v>
      </c>
      <c r="G288" s="0" t="s">
        <v>4601</v>
      </c>
    </row>
    <row customHeight="1" ht="11.25">
      <c r="A289" s="0" t="s">
        <v>16</v>
      </c>
      <c r="B289" s="0" t="s">
        <v>4566</v>
      </c>
      <c r="C289" s="0" t="s">
        <v>4567</v>
      </c>
      <c r="D289" s="0" t="s">
        <v>4566</v>
      </c>
      <c r="E289" s="0" t="s">
        <v>4567</v>
      </c>
      <c r="F289" s="0" t="s">
        <v>3806</v>
      </c>
      <c r="G289" s="0" t="s">
        <v>4602</v>
      </c>
    </row>
    <row customHeight="1" ht="11.25">
      <c r="A290" s="0" t="s">
        <v>16</v>
      </c>
      <c r="B290" s="0" t="s">
        <v>4566</v>
      </c>
      <c r="C290" s="0" t="s">
        <v>4567</v>
      </c>
      <c r="D290" s="0" t="s">
        <v>4603</v>
      </c>
      <c r="E290" s="0" t="s">
        <v>4604</v>
      </c>
      <c r="F290" s="0" t="s">
        <v>3809</v>
      </c>
      <c r="G290" s="0" t="s">
        <v>4605</v>
      </c>
    </row>
    <row customHeight="1" ht="11.25">
      <c r="A291" s="0" t="s">
        <v>16</v>
      </c>
      <c r="B291" s="0" t="s">
        <v>4566</v>
      </c>
      <c r="C291" s="0" t="s">
        <v>4567</v>
      </c>
      <c r="D291" s="0" t="s">
        <v>4606</v>
      </c>
      <c r="E291" s="0" t="s">
        <v>4607</v>
      </c>
      <c r="F291" s="0" t="s">
        <v>3809</v>
      </c>
      <c r="G291" s="0" t="s">
        <v>4608</v>
      </c>
    </row>
    <row customHeight="1" ht="11.25">
      <c r="A292" s="0" t="s">
        <v>16</v>
      </c>
      <c r="B292" s="0" t="s">
        <v>4566</v>
      </c>
      <c r="C292" s="0" t="s">
        <v>4567</v>
      </c>
      <c r="D292" s="0" t="s">
        <v>4609</v>
      </c>
      <c r="E292" s="0" t="s">
        <v>4610</v>
      </c>
      <c r="F292" s="0" t="s">
        <v>3809</v>
      </c>
      <c r="G292" s="0" t="s">
        <v>4611</v>
      </c>
    </row>
    <row customHeight="1" ht="11.25">
      <c r="A293" s="0" t="s">
        <v>16</v>
      </c>
      <c r="B293" s="0" t="s">
        <v>4566</v>
      </c>
      <c r="C293" s="0" t="s">
        <v>4567</v>
      </c>
      <c r="D293" s="0" t="s">
        <v>4612</v>
      </c>
      <c r="E293" s="0" t="s">
        <v>4613</v>
      </c>
      <c r="F293" s="0" t="s">
        <v>3809</v>
      </c>
      <c r="G293" s="0" t="s">
        <v>4614</v>
      </c>
    </row>
    <row customHeight="1" ht="11.25">
      <c r="A294" s="0" t="s">
        <v>16</v>
      </c>
      <c r="B294" s="0" t="s">
        <v>4566</v>
      </c>
      <c r="C294" s="0" t="s">
        <v>4567</v>
      </c>
      <c r="D294" s="0" t="s">
        <v>4615</v>
      </c>
      <c r="E294" s="0" t="s">
        <v>4616</v>
      </c>
      <c r="F294" s="0" t="s">
        <v>3809</v>
      </c>
      <c r="G294" s="0" t="s">
        <v>4617</v>
      </c>
    </row>
    <row customHeight="1" ht="11.25">
      <c r="A295" s="0" t="s">
        <v>16</v>
      </c>
      <c r="B295" s="0" t="s">
        <v>4566</v>
      </c>
      <c r="C295" s="0" t="s">
        <v>4567</v>
      </c>
      <c r="D295" s="0" t="s">
        <v>4618</v>
      </c>
      <c r="E295" s="0" t="s">
        <v>4619</v>
      </c>
      <c r="F295" s="0" t="s">
        <v>3809</v>
      </c>
      <c r="G295" s="0" t="s">
        <v>4620</v>
      </c>
    </row>
    <row customHeight="1" ht="11.25">
      <c r="A296" s="0" t="s">
        <v>16</v>
      </c>
      <c r="B296" s="0" t="s">
        <v>4566</v>
      </c>
      <c r="C296" s="0" t="s">
        <v>4567</v>
      </c>
      <c r="D296" s="0" t="s">
        <v>4621</v>
      </c>
      <c r="E296" s="0" t="s">
        <v>4622</v>
      </c>
      <c r="F296" s="0" t="s">
        <v>3809</v>
      </c>
      <c r="G296" s="0" t="s">
        <v>4623</v>
      </c>
    </row>
    <row customHeight="1" ht="11.25">
      <c r="A297" s="0" t="s">
        <v>16</v>
      </c>
      <c r="B297" s="0" t="s">
        <v>4566</v>
      </c>
      <c r="C297" s="0" t="s">
        <v>4567</v>
      </c>
      <c r="D297" s="0" t="s">
        <v>4624</v>
      </c>
      <c r="E297" s="0" t="s">
        <v>4625</v>
      </c>
      <c r="F297" s="0" t="s">
        <v>3809</v>
      </c>
      <c r="G297" s="0" t="s">
        <v>4626</v>
      </c>
    </row>
    <row customHeight="1" ht="11.25">
      <c r="A298" s="0" t="s">
        <v>16</v>
      </c>
      <c r="B298" s="0" t="s">
        <v>4566</v>
      </c>
      <c r="C298" s="0" t="s">
        <v>4567</v>
      </c>
      <c r="D298" s="0" t="s">
        <v>3955</v>
      </c>
      <c r="E298" s="0" t="s">
        <v>4627</v>
      </c>
      <c r="F298" s="0" t="s">
        <v>3809</v>
      </c>
      <c r="G298" s="0" t="s">
        <v>4628</v>
      </c>
    </row>
    <row customHeight="1" ht="11.25">
      <c r="A299" s="0" t="s">
        <v>16</v>
      </c>
      <c r="B299" s="0" t="s">
        <v>4566</v>
      </c>
      <c r="C299" s="0" t="s">
        <v>4567</v>
      </c>
      <c r="D299" s="0" t="s">
        <v>4629</v>
      </c>
      <c r="E299" s="0" t="s">
        <v>4630</v>
      </c>
      <c r="F299" s="0" t="s">
        <v>3809</v>
      </c>
      <c r="G299" s="0" t="s">
        <v>4631</v>
      </c>
    </row>
    <row customHeight="1" ht="11.25">
      <c r="A300" s="0" t="s">
        <v>16</v>
      </c>
      <c r="B300" s="0" t="s">
        <v>4566</v>
      </c>
      <c r="C300" s="0" t="s">
        <v>4567</v>
      </c>
      <c r="D300" s="0" t="s">
        <v>4632</v>
      </c>
      <c r="E300" s="0" t="s">
        <v>4633</v>
      </c>
      <c r="F300" s="0" t="s">
        <v>3809</v>
      </c>
      <c r="G300" s="0" t="s">
        <v>4634</v>
      </c>
    </row>
    <row customHeight="1" ht="11.25">
      <c r="A301" s="0" t="s">
        <v>16</v>
      </c>
      <c r="B301" s="0" t="s">
        <v>4635</v>
      </c>
      <c r="C301" s="0" t="s">
        <v>4636</v>
      </c>
      <c r="D301" s="0" t="s">
        <v>4637</v>
      </c>
      <c r="E301" s="0" t="s">
        <v>4638</v>
      </c>
      <c r="F301" s="0" t="s">
        <v>3809</v>
      </c>
      <c r="G301" s="0" t="s">
        <v>4639</v>
      </c>
    </row>
    <row customHeight="1" ht="11.25">
      <c r="A302" s="0" t="s">
        <v>16</v>
      </c>
      <c r="B302" s="0" t="s">
        <v>4635</v>
      </c>
      <c r="C302" s="0" t="s">
        <v>4636</v>
      </c>
      <c r="D302" s="0" t="s">
        <v>4640</v>
      </c>
      <c r="E302" s="0" t="s">
        <v>4641</v>
      </c>
      <c r="F302" s="0" t="s">
        <v>3809</v>
      </c>
      <c r="G302" s="0" t="s">
        <v>4642</v>
      </c>
    </row>
    <row customHeight="1" ht="11.25">
      <c r="A303" s="0" t="s">
        <v>16</v>
      </c>
      <c r="B303" s="0" t="s">
        <v>4635</v>
      </c>
      <c r="C303" s="0" t="s">
        <v>4636</v>
      </c>
      <c r="D303" s="0" t="s">
        <v>4643</v>
      </c>
      <c r="E303" s="0" t="s">
        <v>4644</v>
      </c>
      <c r="F303" s="0" t="s">
        <v>3846</v>
      </c>
      <c r="G303" s="0" t="s">
        <v>4645</v>
      </c>
    </row>
    <row customHeight="1" ht="11.25">
      <c r="A304" s="0" t="s">
        <v>16</v>
      </c>
      <c r="B304" s="0" t="s">
        <v>4635</v>
      </c>
      <c r="C304" s="0" t="s">
        <v>4636</v>
      </c>
      <c r="D304" s="0" t="s">
        <v>4646</v>
      </c>
      <c r="E304" s="0" t="s">
        <v>4647</v>
      </c>
      <c r="F304" s="0" t="s">
        <v>3809</v>
      </c>
      <c r="G304" s="0" t="s">
        <v>4648</v>
      </c>
    </row>
    <row customHeight="1" ht="11.25">
      <c r="A305" s="0" t="s">
        <v>16</v>
      </c>
      <c r="B305" s="0" t="s">
        <v>4635</v>
      </c>
      <c r="C305" s="0" t="s">
        <v>4636</v>
      </c>
      <c r="D305" s="0" t="s">
        <v>4635</v>
      </c>
      <c r="E305" s="0" t="s">
        <v>4636</v>
      </c>
      <c r="F305" s="0" t="s">
        <v>3806</v>
      </c>
      <c r="G305" s="0" t="s">
        <v>4649</v>
      </c>
    </row>
    <row customHeight="1" ht="11.25">
      <c r="A306" s="0" t="s">
        <v>16</v>
      </c>
      <c r="B306" s="0" t="s">
        <v>4635</v>
      </c>
      <c r="C306" s="0" t="s">
        <v>4636</v>
      </c>
      <c r="D306" s="0" t="s">
        <v>4650</v>
      </c>
      <c r="E306" s="0" t="s">
        <v>4651</v>
      </c>
      <c r="F306" s="0" t="s">
        <v>3809</v>
      </c>
      <c r="G306" s="0" t="s">
        <v>4652</v>
      </c>
    </row>
    <row customHeight="1" ht="11.25">
      <c r="A307" s="0" t="s">
        <v>16</v>
      </c>
      <c r="B307" s="0" t="s">
        <v>4653</v>
      </c>
      <c r="C307" s="0" t="s">
        <v>4654</v>
      </c>
      <c r="D307" s="0" t="s">
        <v>4655</v>
      </c>
      <c r="E307" s="0" t="s">
        <v>4656</v>
      </c>
      <c r="F307" s="0" t="s">
        <v>3809</v>
      </c>
      <c r="G307" s="0" t="s">
        <v>4657</v>
      </c>
    </row>
    <row customHeight="1" ht="11.25">
      <c r="A308" s="0" t="s">
        <v>16</v>
      </c>
      <c r="B308" s="0" t="s">
        <v>4653</v>
      </c>
      <c r="C308" s="0" t="s">
        <v>4654</v>
      </c>
      <c r="D308" s="0" t="s">
        <v>4658</v>
      </c>
      <c r="E308" s="0" t="s">
        <v>4659</v>
      </c>
      <c r="F308" s="0" t="s">
        <v>3809</v>
      </c>
      <c r="G308" s="0" t="s">
        <v>4660</v>
      </c>
    </row>
    <row customHeight="1" ht="11.25">
      <c r="A309" s="0" t="s">
        <v>16</v>
      </c>
      <c r="B309" s="0" t="s">
        <v>4653</v>
      </c>
      <c r="C309" s="0" t="s">
        <v>4654</v>
      </c>
      <c r="D309" s="0" t="s">
        <v>4661</v>
      </c>
      <c r="E309" s="0" t="s">
        <v>4662</v>
      </c>
      <c r="F309" s="0" t="s">
        <v>3809</v>
      </c>
      <c r="G309" s="0" t="s">
        <v>4663</v>
      </c>
    </row>
    <row customHeight="1" ht="11.25">
      <c r="A310" s="0" t="s">
        <v>16</v>
      </c>
      <c r="B310" s="0" t="s">
        <v>4653</v>
      </c>
      <c r="C310" s="0" t="s">
        <v>4654</v>
      </c>
      <c r="D310" s="0" t="s">
        <v>4664</v>
      </c>
      <c r="E310" s="0" t="s">
        <v>4665</v>
      </c>
      <c r="F310" s="0" t="s">
        <v>3827</v>
      </c>
      <c r="G310" s="0" t="s">
        <v>4666</v>
      </c>
    </row>
    <row customHeight="1" ht="11.25">
      <c r="A311" s="0" t="s">
        <v>16</v>
      </c>
      <c r="B311" s="0" t="s">
        <v>4653</v>
      </c>
      <c r="C311" s="0" t="s">
        <v>4654</v>
      </c>
      <c r="D311" s="0" t="s">
        <v>4667</v>
      </c>
      <c r="E311" s="0" t="s">
        <v>4668</v>
      </c>
      <c r="F311" s="0" t="s">
        <v>3809</v>
      </c>
      <c r="G311" s="0" t="s">
        <v>4669</v>
      </c>
    </row>
    <row customHeight="1" ht="11.25">
      <c r="A312" s="0" t="s">
        <v>16</v>
      </c>
      <c r="B312" s="0" t="s">
        <v>4653</v>
      </c>
      <c r="C312" s="0" t="s">
        <v>4654</v>
      </c>
      <c r="D312" s="0" t="s">
        <v>4670</v>
      </c>
      <c r="E312" s="0" t="s">
        <v>4671</v>
      </c>
      <c r="F312" s="0" t="s">
        <v>3809</v>
      </c>
      <c r="G312" s="0" t="s">
        <v>4672</v>
      </c>
    </row>
    <row customHeight="1" ht="11.25">
      <c r="A313" s="0" t="s">
        <v>16</v>
      </c>
      <c r="B313" s="0" t="s">
        <v>4653</v>
      </c>
      <c r="C313" s="0" t="s">
        <v>4654</v>
      </c>
      <c r="D313" s="0" t="s">
        <v>4673</v>
      </c>
      <c r="E313" s="0" t="s">
        <v>4674</v>
      </c>
      <c r="F313" s="0" t="s">
        <v>3809</v>
      </c>
      <c r="G313" s="0" t="s">
        <v>4675</v>
      </c>
    </row>
    <row customHeight="1" ht="11.25">
      <c r="A314" s="0" t="s">
        <v>16</v>
      </c>
      <c r="B314" s="0" t="s">
        <v>4653</v>
      </c>
      <c r="C314" s="0" t="s">
        <v>4654</v>
      </c>
      <c r="D314" s="0" t="s">
        <v>4676</v>
      </c>
      <c r="E314" s="0" t="s">
        <v>4677</v>
      </c>
      <c r="F314" s="0" t="s">
        <v>3809</v>
      </c>
      <c r="G314" s="0" t="s">
        <v>4678</v>
      </c>
    </row>
    <row customHeight="1" ht="11.25">
      <c r="A315" s="0" t="s">
        <v>16</v>
      </c>
      <c r="B315" s="0" t="s">
        <v>4653</v>
      </c>
      <c r="C315" s="0" t="s">
        <v>4654</v>
      </c>
      <c r="D315" s="0" t="s">
        <v>4679</v>
      </c>
      <c r="E315" s="0" t="s">
        <v>4680</v>
      </c>
      <c r="F315" s="0" t="s">
        <v>3809</v>
      </c>
      <c r="G315" s="0" t="s">
        <v>4681</v>
      </c>
    </row>
    <row customHeight="1" ht="11.25">
      <c r="A316" s="0" t="s">
        <v>16</v>
      </c>
      <c r="B316" s="0" t="s">
        <v>4653</v>
      </c>
      <c r="C316" s="0" t="s">
        <v>4654</v>
      </c>
      <c r="D316" s="0" t="s">
        <v>4653</v>
      </c>
      <c r="E316" s="0" t="s">
        <v>4654</v>
      </c>
      <c r="F316" s="0" t="s">
        <v>3806</v>
      </c>
      <c r="G316" s="0" t="s">
        <v>4682</v>
      </c>
    </row>
    <row customHeight="1" ht="11.25">
      <c r="A317" s="0" t="s">
        <v>16</v>
      </c>
      <c r="B317" s="0" t="s">
        <v>4653</v>
      </c>
      <c r="C317" s="0" t="s">
        <v>4654</v>
      </c>
      <c r="D317" s="0" t="s">
        <v>4683</v>
      </c>
      <c r="E317" s="0" t="s">
        <v>4684</v>
      </c>
      <c r="F317" s="0" t="s">
        <v>3809</v>
      </c>
      <c r="G317" s="0" t="s">
        <v>4685</v>
      </c>
    </row>
    <row customHeight="1" ht="11.25">
      <c r="A318" s="0" t="s">
        <v>16</v>
      </c>
      <c r="B318" s="0" t="s">
        <v>4686</v>
      </c>
      <c r="C318" s="0" t="s">
        <v>4687</v>
      </c>
      <c r="D318" s="0" t="s">
        <v>4688</v>
      </c>
      <c r="E318" s="0" t="s">
        <v>4689</v>
      </c>
      <c r="F318" s="0" t="s">
        <v>3809</v>
      </c>
      <c r="G318" s="0" t="s">
        <v>4690</v>
      </c>
    </row>
    <row customHeight="1" ht="11.25">
      <c r="A319" s="0" t="s">
        <v>16</v>
      </c>
      <c r="B319" s="0" t="s">
        <v>4686</v>
      </c>
      <c r="C319" s="0" t="s">
        <v>4687</v>
      </c>
      <c r="D319" s="0" t="s">
        <v>3960</v>
      </c>
      <c r="E319" s="0" t="s">
        <v>4691</v>
      </c>
      <c r="F319" s="0" t="s">
        <v>3809</v>
      </c>
      <c r="G319" s="0" t="s">
        <v>4692</v>
      </c>
    </row>
    <row customHeight="1" ht="11.25">
      <c r="A320" s="0" t="s">
        <v>16</v>
      </c>
      <c r="B320" s="0" t="s">
        <v>4686</v>
      </c>
      <c r="C320" s="0" t="s">
        <v>4687</v>
      </c>
      <c r="D320" s="0" t="s">
        <v>4486</v>
      </c>
      <c r="E320" s="0" t="s">
        <v>4693</v>
      </c>
      <c r="F320" s="0" t="s">
        <v>3809</v>
      </c>
      <c r="G320" s="0" t="s">
        <v>4694</v>
      </c>
    </row>
    <row customHeight="1" ht="11.25">
      <c r="A321" s="0" t="s">
        <v>16</v>
      </c>
      <c r="B321" s="0" t="s">
        <v>4686</v>
      </c>
      <c r="C321" s="0" t="s">
        <v>4687</v>
      </c>
      <c r="D321" s="0" t="s">
        <v>4695</v>
      </c>
      <c r="E321" s="0" t="s">
        <v>4696</v>
      </c>
      <c r="F321" s="0" t="s">
        <v>3809</v>
      </c>
      <c r="G321" s="0" t="s">
        <v>4697</v>
      </c>
    </row>
    <row customHeight="1" ht="11.25">
      <c r="A322" s="0" t="s">
        <v>16</v>
      </c>
      <c r="B322" s="0" t="s">
        <v>4686</v>
      </c>
      <c r="C322" s="0" t="s">
        <v>4687</v>
      </c>
      <c r="D322" s="0" t="s">
        <v>4497</v>
      </c>
      <c r="E322" s="0" t="s">
        <v>4698</v>
      </c>
      <c r="F322" s="0" t="s">
        <v>3809</v>
      </c>
      <c r="G322" s="0" t="s">
        <v>4699</v>
      </c>
    </row>
    <row customHeight="1" ht="11.25">
      <c r="A323" s="0" t="s">
        <v>16</v>
      </c>
      <c r="B323" s="0" t="s">
        <v>4686</v>
      </c>
      <c r="C323" s="0" t="s">
        <v>4687</v>
      </c>
      <c r="D323" s="0" t="s">
        <v>4700</v>
      </c>
      <c r="E323" s="0" t="s">
        <v>4701</v>
      </c>
      <c r="F323" s="0" t="s">
        <v>3809</v>
      </c>
      <c r="G323" s="0" t="s">
        <v>4702</v>
      </c>
    </row>
    <row customHeight="1" ht="11.25">
      <c r="A324" s="0" t="s">
        <v>16</v>
      </c>
      <c r="B324" s="0" t="s">
        <v>4686</v>
      </c>
      <c r="C324" s="0" t="s">
        <v>4687</v>
      </c>
      <c r="D324" s="0" t="s">
        <v>4703</v>
      </c>
      <c r="E324" s="0" t="s">
        <v>4704</v>
      </c>
      <c r="F324" s="0" t="s">
        <v>3809</v>
      </c>
      <c r="G324" s="0" t="s">
        <v>4705</v>
      </c>
    </row>
    <row customHeight="1" ht="11.25">
      <c r="A325" s="0" t="s">
        <v>16</v>
      </c>
      <c r="B325" s="0" t="s">
        <v>4686</v>
      </c>
      <c r="C325" s="0" t="s">
        <v>4687</v>
      </c>
      <c r="D325" s="0" t="s">
        <v>4706</v>
      </c>
      <c r="E325" s="0" t="s">
        <v>4707</v>
      </c>
      <c r="F325" s="0" t="s">
        <v>3809</v>
      </c>
      <c r="G325" s="0" t="s">
        <v>4708</v>
      </c>
    </row>
    <row customHeight="1" ht="11.25">
      <c r="A326" s="0" t="s">
        <v>16</v>
      </c>
      <c r="B326" s="0" t="s">
        <v>4686</v>
      </c>
      <c r="C326" s="0" t="s">
        <v>4687</v>
      </c>
      <c r="D326" s="0" t="s">
        <v>4709</v>
      </c>
      <c r="E326" s="0" t="s">
        <v>4710</v>
      </c>
      <c r="F326" s="0" t="s">
        <v>3809</v>
      </c>
      <c r="G326" s="0" t="s">
        <v>4711</v>
      </c>
    </row>
    <row customHeight="1" ht="11.25">
      <c r="A327" s="0" t="s">
        <v>16</v>
      </c>
      <c r="B327" s="0" t="s">
        <v>4686</v>
      </c>
      <c r="C327" s="0" t="s">
        <v>4687</v>
      </c>
      <c r="D327" s="0" t="s">
        <v>4712</v>
      </c>
      <c r="E327" s="0" t="s">
        <v>4713</v>
      </c>
      <c r="F327" s="0" t="s">
        <v>3809</v>
      </c>
      <c r="G327" s="0" t="s">
        <v>4714</v>
      </c>
    </row>
    <row customHeight="1" ht="11.25">
      <c r="A328" s="0" t="s">
        <v>16</v>
      </c>
      <c r="B328" s="0" t="s">
        <v>4686</v>
      </c>
      <c r="C328" s="0" t="s">
        <v>4687</v>
      </c>
      <c r="D328" s="0" t="s">
        <v>4715</v>
      </c>
      <c r="E328" s="0" t="s">
        <v>4716</v>
      </c>
      <c r="F328" s="0" t="s">
        <v>3809</v>
      </c>
      <c r="G328" s="0" t="s">
        <v>4717</v>
      </c>
    </row>
    <row customHeight="1" ht="11.25">
      <c r="A329" s="0" t="s">
        <v>16</v>
      </c>
      <c r="B329" s="0" t="s">
        <v>4686</v>
      </c>
      <c r="C329" s="0" t="s">
        <v>4687</v>
      </c>
      <c r="D329" s="0" t="s">
        <v>4718</v>
      </c>
      <c r="E329" s="0" t="s">
        <v>4719</v>
      </c>
      <c r="F329" s="0" t="s">
        <v>3809</v>
      </c>
      <c r="G329" s="0" t="s">
        <v>4720</v>
      </c>
    </row>
    <row customHeight="1" ht="11.25">
      <c r="A330" s="0" t="s">
        <v>16</v>
      </c>
      <c r="B330" s="0" t="s">
        <v>4686</v>
      </c>
      <c r="C330" s="0" t="s">
        <v>4687</v>
      </c>
      <c r="D330" s="0" t="s">
        <v>4721</v>
      </c>
      <c r="E330" s="0" t="s">
        <v>4722</v>
      </c>
      <c r="F330" s="0" t="s">
        <v>3809</v>
      </c>
      <c r="G330" s="0" t="s">
        <v>4723</v>
      </c>
    </row>
    <row customHeight="1" ht="11.25">
      <c r="A331" s="0" t="s">
        <v>16</v>
      </c>
      <c r="B331" s="0" t="s">
        <v>4686</v>
      </c>
      <c r="C331" s="0" t="s">
        <v>4687</v>
      </c>
      <c r="D331" s="0" t="s">
        <v>4724</v>
      </c>
      <c r="E331" s="0" t="s">
        <v>4725</v>
      </c>
      <c r="F331" s="0" t="s">
        <v>3809</v>
      </c>
      <c r="G331" s="0" t="s">
        <v>4726</v>
      </c>
    </row>
    <row customHeight="1" ht="11.25">
      <c r="A332" s="0" t="s">
        <v>16</v>
      </c>
      <c r="B332" s="0" t="s">
        <v>4686</v>
      </c>
      <c r="C332" s="0" t="s">
        <v>4687</v>
      </c>
      <c r="D332" s="0" t="s">
        <v>4686</v>
      </c>
      <c r="E332" s="0" t="s">
        <v>4687</v>
      </c>
      <c r="F332" s="0" t="s">
        <v>3806</v>
      </c>
      <c r="G332" s="0" t="s">
        <v>4727</v>
      </c>
    </row>
    <row customHeight="1" ht="11.25">
      <c r="A333" s="0" t="s">
        <v>16</v>
      </c>
      <c r="B333" s="0" t="s">
        <v>4686</v>
      </c>
      <c r="C333" s="0" t="s">
        <v>4687</v>
      </c>
      <c r="D333" s="0" t="s">
        <v>4728</v>
      </c>
      <c r="E333" s="0" t="s">
        <v>4729</v>
      </c>
      <c r="F333" s="0" t="s">
        <v>3809</v>
      </c>
      <c r="G333" s="0" t="s">
        <v>4730</v>
      </c>
    </row>
    <row customHeight="1" ht="11.25">
      <c r="A334" s="0" t="s">
        <v>16</v>
      </c>
      <c r="B334" s="0" t="s">
        <v>4686</v>
      </c>
      <c r="C334" s="0" t="s">
        <v>4687</v>
      </c>
      <c r="D334" s="0" t="s">
        <v>4731</v>
      </c>
      <c r="E334" s="0" t="s">
        <v>4732</v>
      </c>
      <c r="F334" s="0" t="s">
        <v>3809</v>
      </c>
      <c r="G334" s="0" t="s">
        <v>4733</v>
      </c>
    </row>
    <row customHeight="1" ht="11.25">
      <c r="A335" s="0" t="s">
        <v>16</v>
      </c>
      <c r="B335" s="0" t="s">
        <v>4686</v>
      </c>
      <c r="C335" s="0" t="s">
        <v>4687</v>
      </c>
      <c r="D335" s="0" t="s">
        <v>4734</v>
      </c>
      <c r="E335" s="0" t="s">
        <v>4735</v>
      </c>
      <c r="F335" s="0" t="s">
        <v>3809</v>
      </c>
      <c r="G335" s="0" t="s">
        <v>4736</v>
      </c>
    </row>
    <row customHeight="1" ht="11.25">
      <c r="A336" s="0" t="s">
        <v>16</v>
      </c>
      <c r="B336" s="0" t="s">
        <v>4686</v>
      </c>
      <c r="C336" s="0" t="s">
        <v>4687</v>
      </c>
      <c r="D336" s="0" t="s">
        <v>4229</v>
      </c>
      <c r="E336" s="0" t="s">
        <v>4737</v>
      </c>
      <c r="F336" s="0" t="s">
        <v>3809</v>
      </c>
      <c r="G336" s="0" t="s">
        <v>4738</v>
      </c>
    </row>
    <row customHeight="1" ht="11.25">
      <c r="A337" s="0" t="s">
        <v>16</v>
      </c>
      <c r="B337" s="0" t="s">
        <v>4686</v>
      </c>
      <c r="C337" s="0" t="s">
        <v>4687</v>
      </c>
      <c r="D337" s="0" t="s">
        <v>4739</v>
      </c>
      <c r="E337" s="0" t="s">
        <v>4740</v>
      </c>
      <c r="F337" s="0" t="s">
        <v>3809</v>
      </c>
      <c r="G337" s="0" t="s">
        <v>4741</v>
      </c>
    </row>
    <row customHeight="1" ht="11.25">
      <c r="A338" s="0" t="s">
        <v>16</v>
      </c>
      <c r="B338" s="0" t="s">
        <v>4686</v>
      </c>
      <c r="C338" s="0" t="s">
        <v>4687</v>
      </c>
      <c r="D338" s="0" t="s">
        <v>4742</v>
      </c>
      <c r="E338" s="0" t="s">
        <v>4743</v>
      </c>
      <c r="F338" s="0" t="s">
        <v>3809</v>
      </c>
      <c r="G338" s="0" t="s">
        <v>4744</v>
      </c>
    </row>
    <row customHeight="1" ht="11.25">
      <c r="A339" s="0" t="s">
        <v>16</v>
      </c>
      <c r="B339" s="0" t="s">
        <v>4686</v>
      </c>
      <c r="C339" s="0" t="s">
        <v>4687</v>
      </c>
      <c r="D339" s="0" t="s">
        <v>4745</v>
      </c>
      <c r="E339" s="0" t="s">
        <v>4746</v>
      </c>
      <c r="F339" s="0" t="s">
        <v>3809</v>
      </c>
      <c r="G339" s="0" t="s">
        <v>4747</v>
      </c>
    </row>
    <row customHeight="1" ht="11.25">
      <c r="A340" s="0" t="s">
        <v>16</v>
      </c>
      <c r="B340" s="0" t="s">
        <v>4686</v>
      </c>
      <c r="C340" s="0" t="s">
        <v>4687</v>
      </c>
      <c r="D340" s="0" t="s">
        <v>4748</v>
      </c>
      <c r="E340" s="0" t="s">
        <v>4749</v>
      </c>
      <c r="F340" s="0" t="s">
        <v>3809</v>
      </c>
      <c r="G340" s="0" t="s">
        <v>4750</v>
      </c>
    </row>
    <row customHeight="1" ht="11.25">
      <c r="A341" s="0" t="s">
        <v>16</v>
      </c>
      <c r="B341" s="0" t="s">
        <v>4686</v>
      </c>
      <c r="C341" s="0" t="s">
        <v>4687</v>
      </c>
      <c r="D341" s="0" t="s">
        <v>4751</v>
      </c>
      <c r="E341" s="0" t="s">
        <v>4752</v>
      </c>
      <c r="F341" s="0" t="s">
        <v>3809</v>
      </c>
      <c r="G341" s="0" t="s">
        <v>4753</v>
      </c>
    </row>
    <row customHeight="1" ht="11.25">
      <c r="A342" s="0" t="s">
        <v>16</v>
      </c>
      <c r="B342" s="0" t="s">
        <v>4686</v>
      </c>
      <c r="C342" s="0" t="s">
        <v>4687</v>
      </c>
      <c r="D342" s="0" t="s">
        <v>3955</v>
      </c>
      <c r="E342" s="0" t="s">
        <v>4754</v>
      </c>
      <c r="F342" s="0" t="s">
        <v>3809</v>
      </c>
      <c r="G342" s="0" t="s">
        <v>4755</v>
      </c>
    </row>
    <row customHeight="1" ht="11.25">
      <c r="A343" s="0" t="s">
        <v>16</v>
      </c>
      <c r="B343" s="0" t="s">
        <v>4686</v>
      </c>
      <c r="C343" s="0" t="s">
        <v>4687</v>
      </c>
      <c r="D343" s="0" t="s">
        <v>4756</v>
      </c>
      <c r="E343" s="0" t="s">
        <v>4757</v>
      </c>
      <c r="F343" s="0" t="s">
        <v>3809</v>
      </c>
      <c r="G343" s="0" t="s">
        <v>4758</v>
      </c>
    </row>
    <row customHeight="1" ht="11.25">
      <c r="A344" s="0" t="s">
        <v>16</v>
      </c>
      <c r="B344" s="0" t="s">
        <v>4686</v>
      </c>
      <c r="C344" s="0" t="s">
        <v>4687</v>
      </c>
      <c r="D344" s="0" t="s">
        <v>4759</v>
      </c>
      <c r="E344" s="0" t="s">
        <v>4760</v>
      </c>
      <c r="F344" s="0" t="s">
        <v>3809</v>
      </c>
      <c r="G344" s="0" t="s">
        <v>4761</v>
      </c>
    </row>
    <row customHeight="1" ht="11.25">
      <c r="A345" s="0" t="s">
        <v>16</v>
      </c>
      <c r="B345" s="0" t="s">
        <v>4762</v>
      </c>
      <c r="C345" s="0" t="s">
        <v>4763</v>
      </c>
      <c r="D345" s="0" t="s">
        <v>4764</v>
      </c>
      <c r="E345" s="0" t="s">
        <v>4765</v>
      </c>
      <c r="F345" s="0" t="s">
        <v>3809</v>
      </c>
      <c r="G345" s="0" t="s">
        <v>4766</v>
      </c>
    </row>
    <row customHeight="1" ht="11.25">
      <c r="A346" s="0" t="s">
        <v>16</v>
      </c>
      <c r="B346" s="0" t="s">
        <v>4762</v>
      </c>
      <c r="C346" s="0" t="s">
        <v>4763</v>
      </c>
      <c r="D346" s="0" t="s">
        <v>3861</v>
      </c>
      <c r="E346" s="0" t="s">
        <v>4767</v>
      </c>
      <c r="F346" s="0" t="s">
        <v>3809</v>
      </c>
      <c r="G346" s="0" t="s">
        <v>4768</v>
      </c>
    </row>
    <row customHeight="1" ht="11.25">
      <c r="A347" s="0" t="s">
        <v>16</v>
      </c>
      <c r="B347" s="0" t="s">
        <v>4762</v>
      </c>
      <c r="C347" s="0" t="s">
        <v>4763</v>
      </c>
      <c r="D347" s="0" t="s">
        <v>4769</v>
      </c>
      <c r="E347" s="0" t="s">
        <v>4770</v>
      </c>
      <c r="F347" s="0" t="s">
        <v>3809</v>
      </c>
      <c r="G347" s="0" t="s">
        <v>4771</v>
      </c>
    </row>
    <row customHeight="1" ht="11.25">
      <c r="A348" s="0" t="s">
        <v>16</v>
      </c>
      <c r="B348" s="0" t="s">
        <v>4762</v>
      </c>
      <c r="C348" s="0" t="s">
        <v>4763</v>
      </c>
      <c r="D348" s="0" t="s">
        <v>4772</v>
      </c>
      <c r="E348" s="0" t="s">
        <v>4773</v>
      </c>
      <c r="F348" s="0" t="s">
        <v>3809</v>
      </c>
      <c r="G348" s="0" t="s">
        <v>4774</v>
      </c>
    </row>
    <row customHeight="1" ht="11.25">
      <c r="A349" s="0" t="s">
        <v>16</v>
      </c>
      <c r="B349" s="0" t="s">
        <v>4762</v>
      </c>
      <c r="C349" s="0" t="s">
        <v>4763</v>
      </c>
      <c r="D349" s="0" t="s">
        <v>4775</v>
      </c>
      <c r="E349" s="0" t="s">
        <v>4776</v>
      </c>
      <c r="F349" s="0" t="s">
        <v>3809</v>
      </c>
      <c r="G349" s="0" t="s">
        <v>4777</v>
      </c>
    </row>
    <row customHeight="1" ht="11.25">
      <c r="A350" s="0" t="s">
        <v>16</v>
      </c>
      <c r="B350" s="0" t="s">
        <v>4762</v>
      </c>
      <c r="C350" s="0" t="s">
        <v>4763</v>
      </c>
      <c r="D350" s="0" t="s">
        <v>4778</v>
      </c>
      <c r="E350" s="0" t="s">
        <v>4779</v>
      </c>
      <c r="F350" s="0" t="s">
        <v>3809</v>
      </c>
      <c r="G350" s="0" t="s">
        <v>4780</v>
      </c>
    </row>
    <row customHeight="1" ht="11.25">
      <c r="A351" s="0" t="s">
        <v>16</v>
      </c>
      <c r="B351" s="0" t="s">
        <v>4762</v>
      </c>
      <c r="C351" s="0" t="s">
        <v>4763</v>
      </c>
      <c r="D351" s="0" t="s">
        <v>4781</v>
      </c>
      <c r="E351" s="0" t="s">
        <v>4782</v>
      </c>
      <c r="F351" s="0" t="s">
        <v>3809</v>
      </c>
      <c r="G351" s="0" t="s">
        <v>4783</v>
      </c>
    </row>
    <row customHeight="1" ht="11.25">
      <c r="A352" s="0" t="s">
        <v>16</v>
      </c>
      <c r="B352" s="0" t="s">
        <v>4762</v>
      </c>
      <c r="C352" s="0" t="s">
        <v>4763</v>
      </c>
      <c r="D352" s="0" t="s">
        <v>4123</v>
      </c>
      <c r="E352" s="0" t="s">
        <v>4784</v>
      </c>
      <c r="F352" s="0" t="s">
        <v>3809</v>
      </c>
      <c r="G352" s="0" t="s">
        <v>4785</v>
      </c>
    </row>
    <row customHeight="1" ht="11.25">
      <c r="A353" s="0" t="s">
        <v>16</v>
      </c>
      <c r="B353" s="0" t="s">
        <v>4762</v>
      </c>
      <c r="C353" s="0" t="s">
        <v>4763</v>
      </c>
      <c r="D353" s="0" t="s">
        <v>4786</v>
      </c>
      <c r="E353" s="0" t="s">
        <v>4787</v>
      </c>
      <c r="F353" s="0" t="s">
        <v>3809</v>
      </c>
      <c r="G353" s="0" t="s">
        <v>4788</v>
      </c>
    </row>
    <row customHeight="1" ht="11.25">
      <c r="A354" s="0" t="s">
        <v>16</v>
      </c>
      <c r="B354" s="0" t="s">
        <v>4762</v>
      </c>
      <c r="C354" s="0" t="s">
        <v>4763</v>
      </c>
      <c r="D354" s="0" t="s">
        <v>4762</v>
      </c>
      <c r="E354" s="0" t="s">
        <v>4763</v>
      </c>
      <c r="F354" s="0" t="s">
        <v>3806</v>
      </c>
      <c r="G354" s="0" t="s">
        <v>4789</v>
      </c>
    </row>
    <row customHeight="1" ht="11.25">
      <c r="A355" s="0" t="s">
        <v>16</v>
      </c>
      <c r="B355" s="0" t="s">
        <v>4762</v>
      </c>
      <c r="C355" s="0" t="s">
        <v>4763</v>
      </c>
      <c r="D355" s="0" t="s">
        <v>4790</v>
      </c>
      <c r="E355" s="0" t="s">
        <v>4791</v>
      </c>
      <c r="F355" s="0" t="s">
        <v>3809</v>
      </c>
      <c r="G355" s="0" t="s">
        <v>4792</v>
      </c>
    </row>
    <row customHeight="1" ht="11.25">
      <c r="A356" s="0" t="s">
        <v>16</v>
      </c>
      <c r="B356" s="0" t="s">
        <v>4762</v>
      </c>
      <c r="C356" s="0" t="s">
        <v>4763</v>
      </c>
      <c r="D356" s="0" t="s">
        <v>4793</v>
      </c>
      <c r="E356" s="0" t="s">
        <v>4794</v>
      </c>
      <c r="F356" s="0" t="s">
        <v>3809</v>
      </c>
      <c r="G356" s="0" t="s">
        <v>4795</v>
      </c>
    </row>
    <row customHeight="1" ht="11.25">
      <c r="A357" s="0" t="s">
        <v>16</v>
      </c>
      <c r="B357" s="0" t="s">
        <v>4762</v>
      </c>
      <c r="C357" s="0" t="s">
        <v>4763</v>
      </c>
      <c r="D357" s="0" t="s">
        <v>4796</v>
      </c>
      <c r="E357" s="0" t="s">
        <v>4797</v>
      </c>
      <c r="F357" s="0" t="s">
        <v>3809</v>
      </c>
      <c r="G357" s="0" t="s">
        <v>4798</v>
      </c>
    </row>
    <row customHeight="1" ht="11.25">
      <c r="A358" s="0" t="s">
        <v>16</v>
      </c>
      <c r="B358" s="0" t="s">
        <v>4762</v>
      </c>
      <c r="C358" s="0" t="s">
        <v>4763</v>
      </c>
      <c r="D358" s="0" t="s">
        <v>4799</v>
      </c>
      <c r="E358" s="0" t="s">
        <v>4800</v>
      </c>
      <c r="F358" s="0" t="s">
        <v>3809</v>
      </c>
      <c r="G358" s="0" t="s">
        <v>4801</v>
      </c>
    </row>
    <row customHeight="1" ht="11.25">
      <c r="A359" s="0" t="s">
        <v>16</v>
      </c>
      <c r="B359" s="0" t="s">
        <v>4762</v>
      </c>
      <c r="C359" s="0" t="s">
        <v>4763</v>
      </c>
      <c r="D359" s="0" t="s">
        <v>4802</v>
      </c>
      <c r="E359" s="0" t="s">
        <v>4803</v>
      </c>
      <c r="F359" s="0" t="s">
        <v>3809</v>
      </c>
      <c r="G359" s="0" t="s">
        <v>4804</v>
      </c>
    </row>
    <row customHeight="1" ht="11.25">
      <c r="A360" s="0" t="s">
        <v>16</v>
      </c>
      <c r="B360" s="0" t="s">
        <v>4805</v>
      </c>
      <c r="C360" s="0" t="s">
        <v>4806</v>
      </c>
      <c r="D360" s="0" t="s">
        <v>4807</v>
      </c>
      <c r="E360" s="0" t="s">
        <v>4808</v>
      </c>
      <c r="F360" s="0" t="s">
        <v>3809</v>
      </c>
      <c r="G360" s="0" t="s">
        <v>4809</v>
      </c>
    </row>
    <row customHeight="1" ht="11.25">
      <c r="A361" s="0" t="s">
        <v>16</v>
      </c>
      <c r="B361" s="0" t="s">
        <v>4805</v>
      </c>
      <c r="C361" s="0" t="s">
        <v>4806</v>
      </c>
      <c r="D361" s="0" t="s">
        <v>4810</v>
      </c>
      <c r="E361" s="0" t="s">
        <v>4811</v>
      </c>
      <c r="F361" s="0" t="s">
        <v>3809</v>
      </c>
      <c r="G361" s="0" t="s">
        <v>4812</v>
      </c>
    </row>
    <row customHeight="1" ht="11.25">
      <c r="A362" s="0" t="s">
        <v>16</v>
      </c>
      <c r="B362" s="0" t="s">
        <v>4805</v>
      </c>
      <c r="C362" s="0" t="s">
        <v>4806</v>
      </c>
      <c r="D362" s="0" t="s">
        <v>4813</v>
      </c>
      <c r="E362" s="0" t="s">
        <v>4814</v>
      </c>
      <c r="F362" s="0" t="s">
        <v>3809</v>
      </c>
      <c r="G362" s="0" t="s">
        <v>4815</v>
      </c>
    </row>
    <row customHeight="1" ht="11.25">
      <c r="A363" s="0" t="s">
        <v>16</v>
      </c>
      <c r="B363" s="0" t="s">
        <v>4805</v>
      </c>
      <c r="C363" s="0" t="s">
        <v>4806</v>
      </c>
      <c r="D363" s="0" t="s">
        <v>4816</v>
      </c>
      <c r="E363" s="0" t="s">
        <v>4817</v>
      </c>
      <c r="F363" s="0" t="s">
        <v>3816</v>
      </c>
      <c r="G363" s="0" t="s">
        <v>4818</v>
      </c>
    </row>
    <row customHeight="1" ht="11.25">
      <c r="A364" s="0" t="s">
        <v>16</v>
      </c>
      <c r="B364" s="0" t="s">
        <v>4805</v>
      </c>
      <c r="C364" s="0" t="s">
        <v>4806</v>
      </c>
      <c r="D364" s="0" t="s">
        <v>4819</v>
      </c>
      <c r="E364" s="0" t="s">
        <v>4820</v>
      </c>
      <c r="F364" s="0" t="s">
        <v>3816</v>
      </c>
      <c r="G364" s="0" t="s">
        <v>4821</v>
      </c>
    </row>
    <row customHeight="1" ht="11.25">
      <c r="A365" s="0" t="s">
        <v>16</v>
      </c>
      <c r="B365" s="0" t="s">
        <v>4805</v>
      </c>
      <c r="C365" s="0" t="s">
        <v>4806</v>
      </c>
      <c r="D365" s="0" t="s">
        <v>4822</v>
      </c>
      <c r="E365" s="0" t="s">
        <v>4823</v>
      </c>
      <c r="F365" s="0" t="s">
        <v>3809</v>
      </c>
      <c r="G365" s="0" t="s">
        <v>4824</v>
      </c>
    </row>
    <row customHeight="1" ht="11.25">
      <c r="A366" s="0" t="s">
        <v>16</v>
      </c>
      <c r="B366" s="0" t="s">
        <v>4805</v>
      </c>
      <c r="C366" s="0" t="s">
        <v>4806</v>
      </c>
      <c r="D366" s="0" t="s">
        <v>4825</v>
      </c>
      <c r="E366" s="0" t="s">
        <v>4826</v>
      </c>
      <c r="F366" s="0" t="s">
        <v>3809</v>
      </c>
      <c r="G366" s="0" t="s">
        <v>4827</v>
      </c>
    </row>
    <row customHeight="1" ht="11.25">
      <c r="A367" s="0" t="s">
        <v>16</v>
      </c>
      <c r="B367" s="0" t="s">
        <v>4805</v>
      </c>
      <c r="C367" s="0" t="s">
        <v>4806</v>
      </c>
      <c r="D367" s="0" t="s">
        <v>4805</v>
      </c>
      <c r="E367" s="0" t="s">
        <v>4806</v>
      </c>
      <c r="F367" s="0" t="s">
        <v>3806</v>
      </c>
      <c r="G367" s="0" t="s">
        <v>4828</v>
      </c>
    </row>
    <row customHeight="1" ht="11.25">
      <c r="A368" s="0" t="s">
        <v>16</v>
      </c>
      <c r="B368" s="0" t="s">
        <v>4805</v>
      </c>
      <c r="C368" s="0" t="s">
        <v>4806</v>
      </c>
      <c r="D368" s="0" t="s">
        <v>4829</v>
      </c>
      <c r="E368" s="0" t="s">
        <v>4830</v>
      </c>
      <c r="F368" s="0" t="s">
        <v>3809</v>
      </c>
      <c r="G368" s="0" t="s">
        <v>4831</v>
      </c>
    </row>
    <row customHeight="1" ht="11.25">
      <c r="A369" s="0" t="s">
        <v>16</v>
      </c>
      <c r="B369" s="0" t="s">
        <v>4805</v>
      </c>
      <c r="C369" s="0" t="s">
        <v>4806</v>
      </c>
      <c r="D369" s="0" t="s">
        <v>4832</v>
      </c>
      <c r="E369" s="0" t="s">
        <v>4833</v>
      </c>
      <c r="F369" s="0" t="s">
        <v>3809</v>
      </c>
      <c r="G369" s="0" t="s">
        <v>4834</v>
      </c>
    </row>
    <row customHeight="1" ht="11.25">
      <c r="A370" s="0" t="s">
        <v>16</v>
      </c>
      <c r="B370" s="0" t="s">
        <v>4835</v>
      </c>
      <c r="C370" s="0" t="s">
        <v>4836</v>
      </c>
      <c r="D370" s="0" t="s">
        <v>4837</v>
      </c>
      <c r="E370" s="0" t="s">
        <v>4838</v>
      </c>
      <c r="F370" s="0" t="s">
        <v>3809</v>
      </c>
      <c r="G370" s="0" t="s">
        <v>4839</v>
      </c>
    </row>
    <row customHeight="1" ht="11.25">
      <c r="A371" s="0" t="s">
        <v>16</v>
      </c>
      <c r="B371" s="0" t="s">
        <v>4835</v>
      </c>
      <c r="C371" s="0" t="s">
        <v>4836</v>
      </c>
      <c r="D371" s="0" t="s">
        <v>4840</v>
      </c>
      <c r="E371" s="0" t="s">
        <v>4841</v>
      </c>
      <c r="F371" s="0" t="s">
        <v>3809</v>
      </c>
      <c r="G371" s="0" t="s">
        <v>4842</v>
      </c>
    </row>
    <row customHeight="1" ht="11.25">
      <c r="A372" s="0" t="s">
        <v>16</v>
      </c>
      <c r="B372" s="0" t="s">
        <v>4835</v>
      </c>
      <c r="C372" s="0" t="s">
        <v>4836</v>
      </c>
      <c r="D372" s="0" t="s">
        <v>4807</v>
      </c>
      <c r="E372" s="0" t="s">
        <v>4843</v>
      </c>
      <c r="F372" s="0" t="s">
        <v>3809</v>
      </c>
      <c r="G372" s="0" t="s">
        <v>4844</v>
      </c>
    </row>
    <row customHeight="1" ht="11.25">
      <c r="A373" s="0" t="s">
        <v>16</v>
      </c>
      <c r="B373" s="0" t="s">
        <v>4835</v>
      </c>
      <c r="C373" s="0" t="s">
        <v>4836</v>
      </c>
      <c r="D373" s="0" t="s">
        <v>4845</v>
      </c>
      <c r="E373" s="0" t="s">
        <v>4846</v>
      </c>
      <c r="F373" s="0" t="s">
        <v>3809</v>
      </c>
      <c r="G373" s="0" t="s">
        <v>4847</v>
      </c>
    </row>
    <row customHeight="1" ht="11.25">
      <c r="A374" s="0" t="s">
        <v>16</v>
      </c>
      <c r="B374" s="0" t="s">
        <v>4835</v>
      </c>
      <c r="C374" s="0" t="s">
        <v>4836</v>
      </c>
      <c r="D374" s="0" t="s">
        <v>3891</v>
      </c>
      <c r="E374" s="0" t="s">
        <v>4848</v>
      </c>
      <c r="F374" s="0" t="s">
        <v>3809</v>
      </c>
      <c r="G374" s="0" t="s">
        <v>4849</v>
      </c>
    </row>
    <row customHeight="1" ht="11.25">
      <c r="A375" s="0" t="s">
        <v>16</v>
      </c>
      <c r="B375" s="0" t="s">
        <v>4835</v>
      </c>
      <c r="C375" s="0" t="s">
        <v>4836</v>
      </c>
      <c r="D375" s="0" t="s">
        <v>4850</v>
      </c>
      <c r="E375" s="0" t="s">
        <v>4851</v>
      </c>
      <c r="F375" s="0" t="s">
        <v>3809</v>
      </c>
      <c r="G375" s="0" t="s">
        <v>4852</v>
      </c>
    </row>
    <row customHeight="1" ht="11.25">
      <c r="A376" s="0" t="s">
        <v>16</v>
      </c>
      <c r="B376" s="0" t="s">
        <v>4835</v>
      </c>
      <c r="C376" s="0" t="s">
        <v>4836</v>
      </c>
      <c r="D376" s="0" t="s">
        <v>4853</v>
      </c>
      <c r="E376" s="0" t="s">
        <v>4854</v>
      </c>
      <c r="F376" s="0" t="s">
        <v>3809</v>
      </c>
      <c r="G376" s="0" t="s">
        <v>4855</v>
      </c>
    </row>
    <row customHeight="1" ht="11.25">
      <c r="A377" s="0" t="s">
        <v>16</v>
      </c>
      <c r="B377" s="0" t="s">
        <v>4835</v>
      </c>
      <c r="C377" s="0" t="s">
        <v>4836</v>
      </c>
      <c r="D377" s="0" t="s">
        <v>4856</v>
      </c>
      <c r="E377" s="0" t="s">
        <v>4857</v>
      </c>
      <c r="F377" s="0" t="s">
        <v>3809</v>
      </c>
      <c r="G377" s="0" t="s">
        <v>4858</v>
      </c>
    </row>
    <row customHeight="1" ht="11.25">
      <c r="A378" s="0" t="s">
        <v>16</v>
      </c>
      <c r="B378" s="0" t="s">
        <v>4835</v>
      </c>
      <c r="C378" s="0" t="s">
        <v>4836</v>
      </c>
      <c r="D378" s="0" t="s">
        <v>4859</v>
      </c>
      <c r="E378" s="0" t="s">
        <v>4860</v>
      </c>
      <c r="F378" s="0" t="s">
        <v>3809</v>
      </c>
      <c r="G378" s="0" t="s">
        <v>4861</v>
      </c>
    </row>
    <row customHeight="1" ht="11.25">
      <c r="A379" s="0" t="s">
        <v>16</v>
      </c>
      <c r="B379" s="0" t="s">
        <v>4835</v>
      </c>
      <c r="C379" s="0" t="s">
        <v>4836</v>
      </c>
      <c r="D379" s="0" t="s">
        <v>4862</v>
      </c>
      <c r="E379" s="0" t="s">
        <v>4863</v>
      </c>
      <c r="F379" s="0" t="s">
        <v>3809</v>
      </c>
      <c r="G379" s="0" t="s">
        <v>4864</v>
      </c>
    </row>
    <row customHeight="1" ht="11.25">
      <c r="A380" s="0" t="s">
        <v>16</v>
      </c>
      <c r="B380" s="0" t="s">
        <v>4835</v>
      </c>
      <c r="C380" s="0" t="s">
        <v>4836</v>
      </c>
      <c r="D380" s="0" t="s">
        <v>4865</v>
      </c>
      <c r="E380" s="0" t="s">
        <v>4866</v>
      </c>
      <c r="F380" s="0" t="s">
        <v>3809</v>
      </c>
      <c r="G380" s="0" t="s">
        <v>4867</v>
      </c>
    </row>
    <row customHeight="1" ht="11.25">
      <c r="A381" s="0" t="s">
        <v>16</v>
      </c>
      <c r="B381" s="0" t="s">
        <v>4835</v>
      </c>
      <c r="C381" s="0" t="s">
        <v>4836</v>
      </c>
      <c r="D381" s="0" t="s">
        <v>4868</v>
      </c>
      <c r="E381" s="0" t="s">
        <v>4869</v>
      </c>
      <c r="F381" s="0" t="s">
        <v>3809</v>
      </c>
      <c r="G381" s="0" t="s">
        <v>4870</v>
      </c>
    </row>
    <row customHeight="1" ht="11.25">
      <c r="A382" s="0" t="s">
        <v>16</v>
      </c>
      <c r="B382" s="0" t="s">
        <v>4835</v>
      </c>
      <c r="C382" s="0" t="s">
        <v>4836</v>
      </c>
      <c r="D382" s="0" t="s">
        <v>4871</v>
      </c>
      <c r="E382" s="0" t="s">
        <v>4872</v>
      </c>
      <c r="F382" s="0" t="s">
        <v>3809</v>
      </c>
      <c r="G382" s="0" t="s">
        <v>4873</v>
      </c>
    </row>
    <row customHeight="1" ht="11.25">
      <c r="A383" s="0" t="s">
        <v>16</v>
      </c>
      <c r="B383" s="0" t="s">
        <v>4835</v>
      </c>
      <c r="C383" s="0" t="s">
        <v>4836</v>
      </c>
      <c r="D383" s="0" t="s">
        <v>4874</v>
      </c>
      <c r="E383" s="0" t="s">
        <v>4875</v>
      </c>
      <c r="F383" s="0" t="s">
        <v>3809</v>
      </c>
      <c r="G383" s="0" t="s">
        <v>4876</v>
      </c>
    </row>
    <row customHeight="1" ht="11.25">
      <c r="A384" s="0" t="s">
        <v>16</v>
      </c>
      <c r="B384" s="0" t="s">
        <v>4835</v>
      </c>
      <c r="C384" s="0" t="s">
        <v>4836</v>
      </c>
      <c r="D384" s="0" t="s">
        <v>4877</v>
      </c>
      <c r="E384" s="0" t="s">
        <v>4878</v>
      </c>
      <c r="F384" s="0" t="s">
        <v>3809</v>
      </c>
      <c r="G384" s="0" t="s">
        <v>4879</v>
      </c>
    </row>
    <row customHeight="1" ht="11.25">
      <c r="A385" s="0" t="s">
        <v>16</v>
      </c>
      <c r="B385" s="0" t="s">
        <v>4835</v>
      </c>
      <c r="C385" s="0" t="s">
        <v>4836</v>
      </c>
      <c r="D385" s="0" t="s">
        <v>4880</v>
      </c>
      <c r="E385" s="0" t="s">
        <v>4881</v>
      </c>
      <c r="F385" s="0" t="s">
        <v>3809</v>
      </c>
      <c r="G385" s="0" t="s">
        <v>4882</v>
      </c>
    </row>
    <row customHeight="1" ht="11.25">
      <c r="A386" s="0" t="s">
        <v>16</v>
      </c>
      <c r="B386" s="0" t="s">
        <v>4835</v>
      </c>
      <c r="C386" s="0" t="s">
        <v>4836</v>
      </c>
      <c r="D386" s="0" t="s">
        <v>4883</v>
      </c>
      <c r="E386" s="0" t="s">
        <v>4884</v>
      </c>
      <c r="F386" s="0" t="s">
        <v>3809</v>
      </c>
      <c r="G386" s="0" t="s">
        <v>4885</v>
      </c>
    </row>
    <row customHeight="1" ht="11.25">
      <c r="A387" s="0" t="s">
        <v>16</v>
      </c>
      <c r="B387" s="0" t="s">
        <v>4835</v>
      </c>
      <c r="C387" s="0" t="s">
        <v>4836</v>
      </c>
      <c r="D387" s="0" t="s">
        <v>4886</v>
      </c>
      <c r="E387" s="0" t="s">
        <v>4887</v>
      </c>
      <c r="F387" s="0" t="s">
        <v>3809</v>
      </c>
      <c r="G387" s="0" t="s">
        <v>4888</v>
      </c>
    </row>
    <row customHeight="1" ht="11.25">
      <c r="A388" s="0" t="s">
        <v>16</v>
      </c>
      <c r="B388" s="0" t="s">
        <v>4835</v>
      </c>
      <c r="C388" s="0" t="s">
        <v>4836</v>
      </c>
      <c r="D388" s="0" t="s">
        <v>4835</v>
      </c>
      <c r="E388" s="0" t="s">
        <v>4836</v>
      </c>
      <c r="F388" s="0" t="s">
        <v>3806</v>
      </c>
      <c r="G388" s="0" t="s">
        <v>4889</v>
      </c>
    </row>
    <row customHeight="1" ht="11.25">
      <c r="A389" s="0" t="s">
        <v>16</v>
      </c>
      <c r="B389" s="0" t="s">
        <v>4835</v>
      </c>
      <c r="C389" s="0" t="s">
        <v>4836</v>
      </c>
      <c r="D389" s="0" t="s">
        <v>4890</v>
      </c>
      <c r="E389" s="0" t="s">
        <v>4891</v>
      </c>
      <c r="F389" s="0" t="s">
        <v>3809</v>
      </c>
      <c r="G389" s="0" t="s">
        <v>4892</v>
      </c>
    </row>
    <row customHeight="1" ht="11.25">
      <c r="A390" s="0" t="s">
        <v>16</v>
      </c>
      <c r="B390" s="0" t="s">
        <v>4835</v>
      </c>
      <c r="C390" s="0" t="s">
        <v>4836</v>
      </c>
      <c r="D390" s="0" t="s">
        <v>3955</v>
      </c>
      <c r="E390" s="0" t="s">
        <v>4893</v>
      </c>
      <c r="F390" s="0" t="s">
        <v>3809</v>
      </c>
      <c r="G390" s="0" t="s">
        <v>4894</v>
      </c>
    </row>
    <row customHeight="1" ht="11.25">
      <c r="A391" s="0" t="s">
        <v>16</v>
      </c>
      <c r="B391" s="0" t="s">
        <v>4835</v>
      </c>
      <c r="C391" s="0" t="s">
        <v>4836</v>
      </c>
      <c r="D391" s="0" t="s">
        <v>4895</v>
      </c>
      <c r="E391" s="0" t="s">
        <v>4896</v>
      </c>
      <c r="F391" s="0" t="s">
        <v>3809</v>
      </c>
      <c r="G391" s="0" t="s">
        <v>4897</v>
      </c>
    </row>
    <row customHeight="1" ht="11.25">
      <c r="A392" s="0" t="s">
        <v>16</v>
      </c>
      <c r="B392" s="0" t="s">
        <v>4898</v>
      </c>
      <c r="C392" s="0" t="s">
        <v>4899</v>
      </c>
      <c r="D392" s="0" t="s">
        <v>4900</v>
      </c>
      <c r="E392" s="0" t="s">
        <v>4901</v>
      </c>
      <c r="F392" s="0" t="s">
        <v>3809</v>
      </c>
      <c r="G392" s="0" t="s">
        <v>4902</v>
      </c>
    </row>
    <row customHeight="1" ht="11.25">
      <c r="A393" s="0" t="s">
        <v>16</v>
      </c>
      <c r="B393" s="0" t="s">
        <v>4898</v>
      </c>
      <c r="C393" s="0" t="s">
        <v>4899</v>
      </c>
      <c r="D393" s="0" t="s">
        <v>4903</v>
      </c>
      <c r="E393" s="0" t="s">
        <v>4904</v>
      </c>
      <c r="F393" s="0" t="s">
        <v>3846</v>
      </c>
      <c r="G393" s="0" t="s">
        <v>4905</v>
      </c>
    </row>
    <row customHeight="1" ht="11.25">
      <c r="A394" s="0" t="s">
        <v>16</v>
      </c>
      <c r="B394" s="0" t="s">
        <v>4898</v>
      </c>
      <c r="C394" s="0" t="s">
        <v>4899</v>
      </c>
      <c r="D394" s="0" t="s">
        <v>4906</v>
      </c>
      <c r="E394" s="0" t="s">
        <v>4907</v>
      </c>
      <c r="F394" s="0" t="s">
        <v>3809</v>
      </c>
      <c r="G394" s="0" t="s">
        <v>4908</v>
      </c>
    </row>
    <row customHeight="1" ht="11.25">
      <c r="A395" s="0" t="s">
        <v>16</v>
      </c>
      <c r="B395" s="0" t="s">
        <v>4898</v>
      </c>
      <c r="C395" s="0" t="s">
        <v>4899</v>
      </c>
      <c r="D395" s="0" t="s">
        <v>4909</v>
      </c>
      <c r="E395" s="0" t="s">
        <v>4910</v>
      </c>
      <c r="F395" s="0" t="s">
        <v>3816</v>
      </c>
      <c r="G395" s="0" t="s">
        <v>4911</v>
      </c>
    </row>
    <row customHeight="1" ht="11.25">
      <c r="A396" s="0" t="s">
        <v>16</v>
      </c>
      <c r="B396" s="0" t="s">
        <v>4898</v>
      </c>
      <c r="C396" s="0" t="s">
        <v>4899</v>
      </c>
      <c r="D396" s="0" t="s">
        <v>4912</v>
      </c>
      <c r="E396" s="0" t="s">
        <v>4913</v>
      </c>
      <c r="F396" s="0" t="s">
        <v>3816</v>
      </c>
      <c r="G396" s="0" t="s">
        <v>4914</v>
      </c>
    </row>
    <row customHeight="1" ht="11.25">
      <c r="A397" s="0" t="s">
        <v>16</v>
      </c>
      <c r="B397" s="0" t="s">
        <v>4898</v>
      </c>
      <c r="C397" s="0" t="s">
        <v>4899</v>
      </c>
      <c r="D397" s="0" t="s">
        <v>4915</v>
      </c>
      <c r="E397" s="0" t="s">
        <v>4916</v>
      </c>
      <c r="F397" s="0" t="s">
        <v>3816</v>
      </c>
      <c r="G397" s="0" t="s">
        <v>4917</v>
      </c>
    </row>
    <row customHeight="1" ht="11.25">
      <c r="A398" s="0" t="s">
        <v>16</v>
      </c>
      <c r="B398" s="0" t="s">
        <v>4898</v>
      </c>
      <c r="C398" s="0" t="s">
        <v>4899</v>
      </c>
      <c r="D398" s="0" t="s">
        <v>4918</v>
      </c>
      <c r="E398" s="0" t="s">
        <v>4919</v>
      </c>
      <c r="F398" s="0" t="s">
        <v>3816</v>
      </c>
      <c r="G398" s="0" t="s">
        <v>4920</v>
      </c>
    </row>
    <row customHeight="1" ht="11.25">
      <c r="A399" s="0" t="s">
        <v>16</v>
      </c>
      <c r="B399" s="0" t="s">
        <v>4898</v>
      </c>
      <c r="C399" s="0" t="s">
        <v>4899</v>
      </c>
      <c r="D399" s="0" t="s">
        <v>4921</v>
      </c>
      <c r="E399" s="0" t="s">
        <v>4922</v>
      </c>
      <c r="F399" s="0" t="s">
        <v>3816</v>
      </c>
      <c r="G399" s="0" t="s">
        <v>4923</v>
      </c>
    </row>
    <row customHeight="1" ht="11.25">
      <c r="A400" s="0" t="s">
        <v>16</v>
      </c>
      <c r="B400" s="0" t="s">
        <v>4898</v>
      </c>
      <c r="C400" s="0" t="s">
        <v>4899</v>
      </c>
      <c r="D400" s="0" t="s">
        <v>4924</v>
      </c>
      <c r="E400" s="0" t="s">
        <v>4925</v>
      </c>
      <c r="F400" s="0" t="s">
        <v>3809</v>
      </c>
      <c r="G400" s="0" t="s">
        <v>4926</v>
      </c>
    </row>
    <row customHeight="1" ht="11.25">
      <c r="A401" s="0" t="s">
        <v>16</v>
      </c>
      <c r="B401" s="0" t="s">
        <v>4898</v>
      </c>
      <c r="C401" s="0" t="s">
        <v>4899</v>
      </c>
      <c r="D401" s="0" t="s">
        <v>4927</v>
      </c>
      <c r="E401" s="0" t="s">
        <v>4928</v>
      </c>
      <c r="F401" s="0" t="s">
        <v>3809</v>
      </c>
      <c r="G401" s="0" t="s">
        <v>4929</v>
      </c>
    </row>
    <row customHeight="1" ht="11.25">
      <c r="A402" s="0" t="s">
        <v>16</v>
      </c>
      <c r="B402" s="0" t="s">
        <v>4898</v>
      </c>
      <c r="C402" s="0" t="s">
        <v>4899</v>
      </c>
      <c r="D402" s="0" t="s">
        <v>4898</v>
      </c>
      <c r="E402" s="0" t="s">
        <v>4899</v>
      </c>
      <c r="F402" s="0" t="s">
        <v>3806</v>
      </c>
      <c r="G402" s="0" t="s">
        <v>4930</v>
      </c>
    </row>
    <row customHeight="1" ht="11.25">
      <c r="A403" s="0" t="s">
        <v>16</v>
      </c>
      <c r="B403" s="0" t="s">
        <v>4898</v>
      </c>
      <c r="C403" s="0" t="s">
        <v>4899</v>
      </c>
      <c r="D403" s="0" t="s">
        <v>4931</v>
      </c>
      <c r="E403" s="0" t="s">
        <v>4932</v>
      </c>
      <c r="F403" s="0" t="s">
        <v>3809</v>
      </c>
      <c r="G403" s="0" t="s">
        <v>4933</v>
      </c>
    </row>
    <row customHeight="1" ht="11.25">
      <c r="A404" s="0" t="s">
        <v>16</v>
      </c>
      <c r="B404" s="0" t="s">
        <v>4934</v>
      </c>
      <c r="C404" s="0" t="s">
        <v>4935</v>
      </c>
      <c r="D404" s="0" t="s">
        <v>4936</v>
      </c>
      <c r="E404" s="0" t="s">
        <v>4937</v>
      </c>
      <c r="F404" s="0" t="s">
        <v>3809</v>
      </c>
      <c r="G404" s="0" t="s">
        <v>4938</v>
      </c>
    </row>
    <row customHeight="1" ht="11.25">
      <c r="A405" s="0" t="s">
        <v>16</v>
      </c>
      <c r="B405" s="0" t="s">
        <v>4934</v>
      </c>
      <c r="C405" s="0" t="s">
        <v>4935</v>
      </c>
      <c r="D405" s="0" t="s">
        <v>4939</v>
      </c>
      <c r="E405" s="0" t="s">
        <v>4940</v>
      </c>
      <c r="F405" s="0" t="s">
        <v>3809</v>
      </c>
      <c r="G405" s="0" t="s">
        <v>4941</v>
      </c>
    </row>
    <row customHeight="1" ht="11.25">
      <c r="A406" s="0" t="s">
        <v>16</v>
      </c>
      <c r="B406" s="0" t="s">
        <v>4934</v>
      </c>
      <c r="C406" s="0" t="s">
        <v>4935</v>
      </c>
      <c r="D406" s="0" t="s">
        <v>4942</v>
      </c>
      <c r="E406" s="0" t="s">
        <v>4943</v>
      </c>
      <c r="F406" s="0" t="s">
        <v>3816</v>
      </c>
      <c r="G406" s="0" t="s">
        <v>4944</v>
      </c>
    </row>
    <row customHeight="1" ht="11.25">
      <c r="A407" s="0" t="s">
        <v>16</v>
      </c>
      <c r="B407" s="0" t="s">
        <v>4934</v>
      </c>
      <c r="C407" s="0" t="s">
        <v>4935</v>
      </c>
      <c r="D407" s="0" t="s">
        <v>4945</v>
      </c>
      <c r="E407" s="0" t="s">
        <v>4946</v>
      </c>
      <c r="F407" s="0" t="s">
        <v>3816</v>
      </c>
      <c r="G407" s="0" t="s">
        <v>4947</v>
      </c>
    </row>
    <row customHeight="1" ht="11.25">
      <c r="A408" s="0" t="s">
        <v>16</v>
      </c>
      <c r="B408" s="0" t="s">
        <v>4934</v>
      </c>
      <c r="C408" s="0" t="s">
        <v>4935</v>
      </c>
      <c r="D408" s="0" t="s">
        <v>4948</v>
      </c>
      <c r="E408" s="0" t="s">
        <v>4949</v>
      </c>
      <c r="F408" s="0" t="s">
        <v>3816</v>
      </c>
      <c r="G408" s="0" t="s">
        <v>4950</v>
      </c>
    </row>
    <row customHeight="1" ht="11.25">
      <c r="A409" s="0" t="s">
        <v>16</v>
      </c>
      <c r="B409" s="0" t="s">
        <v>4934</v>
      </c>
      <c r="C409" s="0" t="s">
        <v>4935</v>
      </c>
      <c r="D409" s="0" t="s">
        <v>4951</v>
      </c>
      <c r="E409" s="0" t="s">
        <v>4952</v>
      </c>
      <c r="F409" s="0" t="s">
        <v>3809</v>
      </c>
      <c r="G409" s="0" t="s">
        <v>4953</v>
      </c>
    </row>
    <row customHeight="1" ht="11.25">
      <c r="A410" s="0" t="s">
        <v>16</v>
      </c>
      <c r="B410" s="0" t="s">
        <v>4934</v>
      </c>
      <c r="C410" s="0" t="s">
        <v>4935</v>
      </c>
      <c r="D410" s="0" t="s">
        <v>4954</v>
      </c>
      <c r="E410" s="0" t="s">
        <v>4955</v>
      </c>
      <c r="F410" s="0" t="s">
        <v>3809</v>
      </c>
      <c r="G410" s="0" t="s">
        <v>4956</v>
      </c>
    </row>
    <row customHeight="1" ht="11.25">
      <c r="A411" s="0" t="s">
        <v>16</v>
      </c>
      <c r="B411" s="0" t="s">
        <v>4934</v>
      </c>
      <c r="C411" s="0" t="s">
        <v>4935</v>
      </c>
      <c r="D411" s="0" t="s">
        <v>4957</v>
      </c>
      <c r="E411" s="0" t="s">
        <v>4958</v>
      </c>
      <c r="F411" s="0" t="s">
        <v>3809</v>
      </c>
      <c r="G411" s="0" t="s">
        <v>4959</v>
      </c>
    </row>
    <row customHeight="1" ht="11.25">
      <c r="A412" s="0" t="s">
        <v>16</v>
      </c>
      <c r="B412" s="0" t="s">
        <v>4934</v>
      </c>
      <c r="C412" s="0" t="s">
        <v>4935</v>
      </c>
      <c r="D412" s="0" t="s">
        <v>4934</v>
      </c>
      <c r="E412" s="0" t="s">
        <v>4935</v>
      </c>
      <c r="F412" s="0" t="s">
        <v>3806</v>
      </c>
      <c r="G412" s="0" t="s">
        <v>4960</v>
      </c>
    </row>
    <row customHeight="1" ht="11.25">
      <c r="A413" s="0" t="s">
        <v>16</v>
      </c>
      <c r="B413" s="0" t="s">
        <v>4934</v>
      </c>
      <c r="C413" s="0" t="s">
        <v>4935</v>
      </c>
      <c r="D413" s="0" t="s">
        <v>4961</v>
      </c>
      <c r="E413" s="0" t="s">
        <v>4962</v>
      </c>
      <c r="F413" s="0" t="s">
        <v>3809</v>
      </c>
      <c r="G413" s="0" t="s">
        <v>4963</v>
      </c>
    </row>
    <row customHeight="1" ht="11.25">
      <c r="A414" s="0" t="s">
        <v>16</v>
      </c>
      <c r="B414" s="0" t="s">
        <v>4934</v>
      </c>
      <c r="C414" s="0" t="s">
        <v>4935</v>
      </c>
      <c r="D414" s="0" t="s">
        <v>4964</v>
      </c>
      <c r="E414" s="0" t="s">
        <v>4965</v>
      </c>
      <c r="F414" s="0" t="s">
        <v>3809</v>
      </c>
      <c r="G414" s="0" t="s">
        <v>4966</v>
      </c>
    </row>
    <row customHeight="1" ht="11.25">
      <c r="A415" s="0" t="s">
        <v>16</v>
      </c>
      <c r="B415" s="0" t="s">
        <v>4967</v>
      </c>
      <c r="C415" s="0" t="s">
        <v>4968</v>
      </c>
      <c r="D415" s="0" t="s">
        <v>4138</v>
      </c>
      <c r="E415" s="0" t="s">
        <v>4969</v>
      </c>
      <c r="F415" s="0" t="s">
        <v>3809</v>
      </c>
      <c r="G415" s="0" t="s">
        <v>4970</v>
      </c>
    </row>
    <row customHeight="1" ht="11.25">
      <c r="A416" s="0" t="s">
        <v>16</v>
      </c>
      <c r="B416" s="0" t="s">
        <v>4967</v>
      </c>
      <c r="C416" s="0" t="s">
        <v>4968</v>
      </c>
      <c r="D416" s="0" t="s">
        <v>4971</v>
      </c>
      <c r="E416" s="0" t="s">
        <v>4972</v>
      </c>
      <c r="F416" s="0" t="s">
        <v>3827</v>
      </c>
      <c r="G416" s="0" t="s">
        <v>4973</v>
      </c>
    </row>
    <row customHeight="1" ht="11.25">
      <c r="A417" s="0" t="s">
        <v>16</v>
      </c>
      <c r="B417" s="0" t="s">
        <v>4967</v>
      </c>
      <c r="C417" s="0" t="s">
        <v>4968</v>
      </c>
      <c r="D417" s="0" t="s">
        <v>4974</v>
      </c>
      <c r="E417" s="0" t="s">
        <v>4975</v>
      </c>
      <c r="F417" s="0" t="s">
        <v>3809</v>
      </c>
      <c r="G417" s="0" t="s">
        <v>4976</v>
      </c>
    </row>
    <row customHeight="1" ht="11.25">
      <c r="A418" s="0" t="s">
        <v>16</v>
      </c>
      <c r="B418" s="0" t="s">
        <v>4967</v>
      </c>
      <c r="C418" s="0" t="s">
        <v>4968</v>
      </c>
      <c r="D418" s="0" t="s">
        <v>4977</v>
      </c>
      <c r="E418" s="0" t="s">
        <v>4978</v>
      </c>
      <c r="F418" s="0" t="s">
        <v>3809</v>
      </c>
      <c r="G418" s="0" t="s">
        <v>4979</v>
      </c>
    </row>
    <row customHeight="1" ht="11.25">
      <c r="A419" s="0" t="s">
        <v>16</v>
      </c>
      <c r="B419" s="0" t="s">
        <v>4967</v>
      </c>
      <c r="C419" s="0" t="s">
        <v>4968</v>
      </c>
      <c r="D419" s="0" t="s">
        <v>4980</v>
      </c>
      <c r="E419" s="0" t="s">
        <v>4981</v>
      </c>
      <c r="F419" s="0" t="s">
        <v>3809</v>
      </c>
      <c r="G419" s="0" t="s">
        <v>4982</v>
      </c>
    </row>
    <row customHeight="1" ht="11.25">
      <c r="A420" s="0" t="s">
        <v>16</v>
      </c>
      <c r="B420" s="0" t="s">
        <v>4967</v>
      </c>
      <c r="C420" s="0" t="s">
        <v>4968</v>
      </c>
      <c r="D420" s="0" t="s">
        <v>4983</v>
      </c>
      <c r="E420" s="0" t="s">
        <v>4984</v>
      </c>
      <c r="F420" s="0" t="s">
        <v>3809</v>
      </c>
      <c r="G420" s="0" t="s">
        <v>4985</v>
      </c>
    </row>
    <row customHeight="1" ht="11.25">
      <c r="A421" s="0" t="s">
        <v>16</v>
      </c>
      <c r="B421" s="0" t="s">
        <v>4967</v>
      </c>
      <c r="C421" s="0" t="s">
        <v>4968</v>
      </c>
      <c r="D421" s="0" t="s">
        <v>4986</v>
      </c>
      <c r="E421" s="0" t="s">
        <v>4987</v>
      </c>
      <c r="F421" s="0" t="s">
        <v>3809</v>
      </c>
      <c r="G421" s="0" t="s">
        <v>4988</v>
      </c>
    </row>
    <row customHeight="1" ht="11.25">
      <c r="A422" s="0" t="s">
        <v>16</v>
      </c>
      <c r="B422" s="0" t="s">
        <v>4967</v>
      </c>
      <c r="C422" s="0" t="s">
        <v>4968</v>
      </c>
      <c r="D422" s="0" t="s">
        <v>4989</v>
      </c>
      <c r="E422" s="0" t="s">
        <v>4990</v>
      </c>
      <c r="F422" s="0" t="s">
        <v>3809</v>
      </c>
      <c r="G422" s="0" t="s">
        <v>4991</v>
      </c>
    </row>
    <row customHeight="1" ht="11.25">
      <c r="A423" s="0" t="s">
        <v>16</v>
      </c>
      <c r="B423" s="0" t="s">
        <v>4967</v>
      </c>
      <c r="C423" s="0" t="s">
        <v>4968</v>
      </c>
      <c r="D423" s="0" t="s">
        <v>4992</v>
      </c>
      <c r="E423" s="0" t="s">
        <v>4993</v>
      </c>
      <c r="F423" s="0" t="s">
        <v>3809</v>
      </c>
      <c r="G423" s="0" t="s">
        <v>4994</v>
      </c>
    </row>
    <row customHeight="1" ht="11.25">
      <c r="A424" s="0" t="s">
        <v>16</v>
      </c>
      <c r="B424" s="0" t="s">
        <v>4967</v>
      </c>
      <c r="C424" s="0" t="s">
        <v>4968</v>
      </c>
      <c r="D424" s="0" t="s">
        <v>4995</v>
      </c>
      <c r="E424" s="0" t="s">
        <v>4996</v>
      </c>
      <c r="F424" s="0" t="s">
        <v>3809</v>
      </c>
      <c r="G424" s="0" t="s">
        <v>4997</v>
      </c>
    </row>
    <row customHeight="1" ht="11.25">
      <c r="A425" s="0" t="s">
        <v>16</v>
      </c>
      <c r="B425" s="0" t="s">
        <v>4967</v>
      </c>
      <c r="C425" s="0" t="s">
        <v>4968</v>
      </c>
      <c r="D425" s="0" t="s">
        <v>4998</v>
      </c>
      <c r="E425" s="0" t="s">
        <v>4999</v>
      </c>
      <c r="F425" s="0" t="s">
        <v>3809</v>
      </c>
      <c r="G425" s="0" t="s">
        <v>5000</v>
      </c>
    </row>
    <row customHeight="1" ht="11.25">
      <c r="A426" s="0" t="s">
        <v>16</v>
      </c>
      <c r="B426" s="0" t="s">
        <v>4967</v>
      </c>
      <c r="C426" s="0" t="s">
        <v>4968</v>
      </c>
      <c r="D426" s="0" t="s">
        <v>5001</v>
      </c>
      <c r="E426" s="0" t="s">
        <v>5002</v>
      </c>
      <c r="F426" s="0" t="s">
        <v>3809</v>
      </c>
      <c r="G426" s="0" t="s">
        <v>5003</v>
      </c>
    </row>
    <row customHeight="1" ht="11.25">
      <c r="A427" s="0" t="s">
        <v>16</v>
      </c>
      <c r="B427" s="0" t="s">
        <v>4967</v>
      </c>
      <c r="C427" s="0" t="s">
        <v>4968</v>
      </c>
      <c r="D427" s="0" t="s">
        <v>5004</v>
      </c>
      <c r="E427" s="0" t="s">
        <v>5005</v>
      </c>
      <c r="F427" s="0" t="s">
        <v>3809</v>
      </c>
      <c r="G427" s="0" t="s">
        <v>5006</v>
      </c>
    </row>
    <row customHeight="1" ht="11.25">
      <c r="A428" s="0" t="s">
        <v>16</v>
      </c>
      <c r="B428" s="0" t="s">
        <v>4967</v>
      </c>
      <c r="C428" s="0" t="s">
        <v>4968</v>
      </c>
      <c r="D428" s="0" t="s">
        <v>5007</v>
      </c>
      <c r="E428" s="0" t="s">
        <v>5008</v>
      </c>
      <c r="F428" s="0" t="s">
        <v>3816</v>
      </c>
      <c r="G428" s="0" t="s">
        <v>5009</v>
      </c>
    </row>
    <row customHeight="1" ht="11.25">
      <c r="A429" s="0" t="s">
        <v>16</v>
      </c>
      <c r="B429" s="0" t="s">
        <v>4967</v>
      </c>
      <c r="C429" s="0" t="s">
        <v>4968</v>
      </c>
      <c r="D429" s="0" t="s">
        <v>5010</v>
      </c>
      <c r="E429" s="0" t="s">
        <v>5011</v>
      </c>
      <c r="F429" s="0" t="s">
        <v>3809</v>
      </c>
      <c r="G429" s="0" t="s">
        <v>5012</v>
      </c>
    </row>
    <row customHeight="1" ht="11.25">
      <c r="A430" s="0" t="s">
        <v>16</v>
      </c>
      <c r="B430" s="0" t="s">
        <v>4967</v>
      </c>
      <c r="C430" s="0" t="s">
        <v>4968</v>
      </c>
      <c r="D430" s="0" t="s">
        <v>5013</v>
      </c>
      <c r="E430" s="0" t="s">
        <v>5014</v>
      </c>
      <c r="F430" s="0" t="s">
        <v>3809</v>
      </c>
      <c r="G430" s="0" t="s">
        <v>5015</v>
      </c>
    </row>
    <row customHeight="1" ht="11.25">
      <c r="A431" s="0" t="s">
        <v>16</v>
      </c>
      <c r="B431" s="0" t="s">
        <v>4967</v>
      </c>
      <c r="C431" s="0" t="s">
        <v>4968</v>
      </c>
      <c r="D431" s="0" t="s">
        <v>5016</v>
      </c>
      <c r="E431" s="0" t="s">
        <v>5017</v>
      </c>
      <c r="F431" s="0" t="s">
        <v>3809</v>
      </c>
      <c r="G431" s="0" t="s">
        <v>5018</v>
      </c>
    </row>
    <row customHeight="1" ht="11.25">
      <c r="A432" s="0" t="s">
        <v>16</v>
      </c>
      <c r="B432" s="0" t="s">
        <v>4967</v>
      </c>
      <c r="C432" s="0" t="s">
        <v>4968</v>
      </c>
      <c r="D432" s="0" t="s">
        <v>5019</v>
      </c>
      <c r="E432" s="0" t="s">
        <v>5020</v>
      </c>
      <c r="F432" s="0" t="s">
        <v>3809</v>
      </c>
      <c r="G432" s="0" t="s">
        <v>5021</v>
      </c>
    </row>
    <row customHeight="1" ht="11.25">
      <c r="A433" s="0" t="s">
        <v>16</v>
      </c>
      <c r="B433" s="0" t="s">
        <v>4967</v>
      </c>
      <c r="C433" s="0" t="s">
        <v>4968</v>
      </c>
      <c r="D433" s="0" t="s">
        <v>4967</v>
      </c>
      <c r="E433" s="0" t="s">
        <v>4968</v>
      </c>
      <c r="F433" s="0" t="s">
        <v>3806</v>
      </c>
      <c r="G433" s="0" t="s">
        <v>5022</v>
      </c>
    </row>
    <row customHeight="1" ht="11.25">
      <c r="A434" s="0" t="s">
        <v>16</v>
      </c>
      <c r="B434" s="0" t="s">
        <v>5023</v>
      </c>
      <c r="C434" s="0" t="s">
        <v>5024</v>
      </c>
      <c r="D434" s="0" t="s">
        <v>5025</v>
      </c>
      <c r="E434" s="0" t="s">
        <v>5026</v>
      </c>
      <c r="F434" s="0" t="s">
        <v>3809</v>
      </c>
      <c r="G434" s="0" t="s">
        <v>5027</v>
      </c>
    </row>
    <row customHeight="1" ht="11.25">
      <c r="A435" s="0" t="s">
        <v>16</v>
      </c>
      <c r="B435" s="0" t="s">
        <v>5023</v>
      </c>
      <c r="C435" s="0" t="s">
        <v>5024</v>
      </c>
      <c r="D435" s="0" t="s">
        <v>3960</v>
      </c>
      <c r="E435" s="0" t="s">
        <v>5028</v>
      </c>
      <c r="F435" s="0" t="s">
        <v>3809</v>
      </c>
      <c r="G435" s="0" t="s">
        <v>5029</v>
      </c>
    </row>
    <row customHeight="1" ht="11.25">
      <c r="A436" s="0" t="s">
        <v>16</v>
      </c>
      <c r="B436" s="0" t="s">
        <v>5023</v>
      </c>
      <c r="C436" s="0" t="s">
        <v>5024</v>
      </c>
      <c r="D436" s="0" t="s">
        <v>5030</v>
      </c>
      <c r="E436" s="0" t="s">
        <v>5031</v>
      </c>
      <c r="F436" s="0" t="s">
        <v>3809</v>
      </c>
      <c r="G436" s="0" t="s">
        <v>5032</v>
      </c>
    </row>
    <row customHeight="1" ht="11.25">
      <c r="A437" s="0" t="s">
        <v>16</v>
      </c>
      <c r="B437" s="0" t="s">
        <v>5023</v>
      </c>
      <c r="C437" s="0" t="s">
        <v>5024</v>
      </c>
      <c r="D437" s="0" t="s">
        <v>5033</v>
      </c>
      <c r="E437" s="0" t="s">
        <v>5034</v>
      </c>
      <c r="F437" s="0" t="s">
        <v>3809</v>
      </c>
      <c r="G437" s="0" t="s">
        <v>5035</v>
      </c>
    </row>
    <row customHeight="1" ht="11.25">
      <c r="A438" s="0" t="s">
        <v>16</v>
      </c>
      <c r="B438" s="0" t="s">
        <v>5023</v>
      </c>
      <c r="C438" s="0" t="s">
        <v>5024</v>
      </c>
      <c r="D438" s="0" t="s">
        <v>3865</v>
      </c>
      <c r="E438" s="0" t="s">
        <v>5036</v>
      </c>
      <c r="F438" s="0" t="s">
        <v>3809</v>
      </c>
      <c r="G438" s="0" t="s">
        <v>5037</v>
      </c>
    </row>
    <row customHeight="1" ht="11.25">
      <c r="A439" s="0" t="s">
        <v>16</v>
      </c>
      <c r="B439" s="0" t="s">
        <v>5023</v>
      </c>
      <c r="C439" s="0" t="s">
        <v>5024</v>
      </c>
      <c r="D439" s="0" t="s">
        <v>5038</v>
      </c>
      <c r="E439" s="0" t="s">
        <v>5039</v>
      </c>
      <c r="F439" s="0" t="s">
        <v>3809</v>
      </c>
      <c r="G439" s="0" t="s">
        <v>5040</v>
      </c>
    </row>
    <row customHeight="1" ht="11.25">
      <c r="A440" s="0" t="s">
        <v>16</v>
      </c>
      <c r="B440" s="0" t="s">
        <v>5023</v>
      </c>
      <c r="C440" s="0" t="s">
        <v>5024</v>
      </c>
      <c r="D440" s="0" t="s">
        <v>5041</v>
      </c>
      <c r="E440" s="0" t="s">
        <v>5042</v>
      </c>
      <c r="F440" s="0" t="s">
        <v>3809</v>
      </c>
      <c r="G440" s="0" t="s">
        <v>5043</v>
      </c>
    </row>
    <row customHeight="1" ht="11.25">
      <c r="A441" s="0" t="s">
        <v>16</v>
      </c>
      <c r="B441" s="0" t="s">
        <v>5023</v>
      </c>
      <c r="C441" s="0" t="s">
        <v>5024</v>
      </c>
      <c r="D441" s="0" t="s">
        <v>5044</v>
      </c>
      <c r="E441" s="0" t="s">
        <v>5045</v>
      </c>
      <c r="F441" s="0" t="s">
        <v>3809</v>
      </c>
      <c r="G441" s="0" t="s">
        <v>5046</v>
      </c>
    </row>
    <row customHeight="1" ht="11.25">
      <c r="A442" s="0" t="s">
        <v>16</v>
      </c>
      <c r="B442" s="0" t="s">
        <v>5023</v>
      </c>
      <c r="C442" s="0" t="s">
        <v>5024</v>
      </c>
      <c r="D442" s="0" t="s">
        <v>5047</v>
      </c>
      <c r="E442" s="0" t="s">
        <v>5048</v>
      </c>
      <c r="F442" s="0" t="s">
        <v>3809</v>
      </c>
      <c r="G442" s="0" t="s">
        <v>5049</v>
      </c>
    </row>
    <row customHeight="1" ht="11.25">
      <c r="A443" s="0" t="s">
        <v>16</v>
      </c>
      <c r="B443" s="0" t="s">
        <v>5023</v>
      </c>
      <c r="C443" s="0" t="s">
        <v>5024</v>
      </c>
      <c r="D443" s="0" t="s">
        <v>5050</v>
      </c>
      <c r="E443" s="0" t="s">
        <v>5051</v>
      </c>
      <c r="F443" s="0" t="s">
        <v>3809</v>
      </c>
      <c r="G443" s="0" t="s">
        <v>5052</v>
      </c>
    </row>
    <row customHeight="1" ht="11.25">
      <c r="A444" s="0" t="s">
        <v>16</v>
      </c>
      <c r="B444" s="0" t="s">
        <v>5023</v>
      </c>
      <c r="C444" s="0" t="s">
        <v>5024</v>
      </c>
      <c r="D444" s="0" t="s">
        <v>5053</v>
      </c>
      <c r="E444" s="0" t="s">
        <v>5054</v>
      </c>
      <c r="F444" s="0" t="s">
        <v>3809</v>
      </c>
      <c r="G444" s="0" t="s">
        <v>5055</v>
      </c>
    </row>
    <row customHeight="1" ht="11.25">
      <c r="A445" s="0" t="s">
        <v>16</v>
      </c>
      <c r="B445" s="0" t="s">
        <v>5023</v>
      </c>
      <c r="C445" s="0" t="s">
        <v>5024</v>
      </c>
      <c r="D445" s="0" t="s">
        <v>5056</v>
      </c>
      <c r="E445" s="0" t="s">
        <v>5057</v>
      </c>
      <c r="F445" s="0" t="s">
        <v>3809</v>
      </c>
      <c r="G445" s="0" t="s">
        <v>5058</v>
      </c>
    </row>
    <row customHeight="1" ht="11.25">
      <c r="A446" s="0" t="s">
        <v>16</v>
      </c>
      <c r="B446" s="0" t="s">
        <v>5023</v>
      </c>
      <c r="C446" s="0" t="s">
        <v>5024</v>
      </c>
      <c r="D446" s="0" t="s">
        <v>5059</v>
      </c>
      <c r="E446" s="0" t="s">
        <v>5060</v>
      </c>
      <c r="F446" s="0" t="s">
        <v>3809</v>
      </c>
      <c r="G446" s="0" t="s">
        <v>5061</v>
      </c>
    </row>
    <row customHeight="1" ht="11.25">
      <c r="A447" s="0" t="s">
        <v>16</v>
      </c>
      <c r="B447" s="0" t="s">
        <v>5023</v>
      </c>
      <c r="C447" s="0" t="s">
        <v>5024</v>
      </c>
      <c r="D447" s="0" t="s">
        <v>5062</v>
      </c>
      <c r="E447" s="0" t="s">
        <v>5063</v>
      </c>
      <c r="F447" s="0" t="s">
        <v>3809</v>
      </c>
      <c r="G447" s="0" t="s">
        <v>5064</v>
      </c>
    </row>
    <row customHeight="1" ht="11.25">
      <c r="A448" s="0" t="s">
        <v>16</v>
      </c>
      <c r="B448" s="0" t="s">
        <v>5023</v>
      </c>
      <c r="C448" s="0" t="s">
        <v>5024</v>
      </c>
      <c r="D448" s="0" t="s">
        <v>5065</v>
      </c>
      <c r="E448" s="0" t="s">
        <v>5066</v>
      </c>
      <c r="F448" s="0" t="s">
        <v>3809</v>
      </c>
      <c r="G448" s="0" t="s">
        <v>5067</v>
      </c>
    </row>
    <row customHeight="1" ht="11.25">
      <c r="A449" s="0" t="s">
        <v>16</v>
      </c>
      <c r="B449" s="0" t="s">
        <v>5023</v>
      </c>
      <c r="C449" s="0" t="s">
        <v>5024</v>
      </c>
      <c r="D449" s="0" t="s">
        <v>3877</v>
      </c>
      <c r="E449" s="0" t="s">
        <v>5068</v>
      </c>
      <c r="F449" s="0" t="s">
        <v>3809</v>
      </c>
      <c r="G449" s="0" t="s">
        <v>5069</v>
      </c>
    </row>
    <row customHeight="1" ht="11.25">
      <c r="A450" s="0" t="s">
        <v>16</v>
      </c>
      <c r="B450" s="0" t="s">
        <v>5023</v>
      </c>
      <c r="C450" s="0" t="s">
        <v>5024</v>
      </c>
      <c r="D450" s="0" t="s">
        <v>5023</v>
      </c>
      <c r="E450" s="0" t="s">
        <v>5024</v>
      </c>
      <c r="F450" s="0" t="s">
        <v>3806</v>
      </c>
      <c r="G450" s="0" t="s">
        <v>5070</v>
      </c>
    </row>
    <row customHeight="1" ht="11.25">
      <c r="A451" s="0" t="s">
        <v>16</v>
      </c>
      <c r="B451" s="0" t="s">
        <v>5023</v>
      </c>
      <c r="C451" s="0" t="s">
        <v>5024</v>
      </c>
      <c r="D451" s="0" t="s">
        <v>5071</v>
      </c>
      <c r="E451" s="0" t="s">
        <v>5072</v>
      </c>
      <c r="F451" s="0" t="s">
        <v>3809</v>
      </c>
      <c r="G451" s="0" t="s">
        <v>5073</v>
      </c>
    </row>
    <row customHeight="1" ht="11.25">
      <c r="A452" s="0" t="s">
        <v>16</v>
      </c>
      <c r="B452" s="0" t="s">
        <v>5074</v>
      </c>
      <c r="C452" s="0" t="s">
        <v>5075</v>
      </c>
      <c r="D452" s="0" t="s">
        <v>5076</v>
      </c>
      <c r="E452" s="0" t="s">
        <v>5077</v>
      </c>
      <c r="F452" s="0" t="s">
        <v>3809</v>
      </c>
      <c r="G452" s="0" t="s">
        <v>5078</v>
      </c>
    </row>
    <row customHeight="1" ht="11.25">
      <c r="A453" s="0" t="s">
        <v>16</v>
      </c>
      <c r="B453" s="0" t="s">
        <v>5074</v>
      </c>
      <c r="C453" s="0" t="s">
        <v>5075</v>
      </c>
      <c r="D453" s="0" t="s">
        <v>5079</v>
      </c>
      <c r="E453" s="0" t="s">
        <v>5080</v>
      </c>
      <c r="F453" s="0" t="s">
        <v>3809</v>
      </c>
      <c r="G453" s="0" t="s">
        <v>5081</v>
      </c>
    </row>
    <row customHeight="1" ht="11.25">
      <c r="A454" s="0" t="s">
        <v>16</v>
      </c>
      <c r="B454" s="0" t="s">
        <v>5074</v>
      </c>
      <c r="C454" s="0" t="s">
        <v>5075</v>
      </c>
      <c r="D454" s="0" t="s">
        <v>5082</v>
      </c>
      <c r="E454" s="0" t="s">
        <v>5083</v>
      </c>
      <c r="F454" s="0" t="s">
        <v>3809</v>
      </c>
      <c r="G454" s="0" t="s">
        <v>5084</v>
      </c>
    </row>
    <row customHeight="1" ht="11.25">
      <c r="A455" s="0" t="s">
        <v>16</v>
      </c>
      <c r="B455" s="0" t="s">
        <v>5074</v>
      </c>
      <c r="C455" s="0" t="s">
        <v>5075</v>
      </c>
      <c r="D455" s="0" t="s">
        <v>5074</v>
      </c>
      <c r="E455" s="0" t="s">
        <v>5075</v>
      </c>
      <c r="F455" s="0" t="s">
        <v>3806</v>
      </c>
      <c r="G455" s="0" t="s">
        <v>5085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760015-5863-6F9F-BDBE-2D5AA50432F7}"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7" width="9.140625"/>
    <col min="2" max="2" style="1697" width="84.28125" customWidth="1"/>
    <col min="3" max="3" style="1697" width="9.140625"/>
  </cols>
  <sheetData>
    <row customHeight="1" ht="11.25">
      <c r="A1" s="841" t="s">
        <v>5158</v>
      </c>
      <c r="B1" s="841" t="s">
        <v>5159</v>
      </c>
      <c r="C1" s="841" t="s">
        <v>1210</v>
      </c>
    </row>
    <row customHeight="1" ht="11.25">
      <c r="A2" s="841">
        <v>4189678</v>
      </c>
      <c r="B2" s="841" t="s">
        <v>5160</v>
      </c>
      <c r="C2" s="841" t="s">
        <v>5161</v>
      </c>
    </row>
    <row customHeight="1" ht="11.25">
      <c r="A3" s="841">
        <v>4190415</v>
      </c>
      <c r="B3" s="841" t="s">
        <v>5162</v>
      </c>
      <c r="C3" s="841" t="s">
        <v>5161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B92BCD-4091-63C7-06A8-0DCE5A97CA2F}"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8" width="38.421875" customWidth="1"/>
    <col min="2" max="5" style="168" width="9.140625"/>
  </cols>
  <sheetData>
    <row customHeight="1" ht="15">
      <c r="A1" s="169" t="s">
        <v>5163</v>
      </c>
      <c r="B1" s="169" t="s">
        <v>5164</v>
      </c>
      <c r="C1" s="169"/>
      <c r="D1" s="169"/>
      <c r="E1" s="169"/>
    </row>
    <row customHeight="1" ht="15">
      <c r="A2" s="169"/>
      <c r="B2" s="169"/>
      <c r="C2" s="169"/>
      <c r="D2" s="169"/>
      <c r="E2" s="169"/>
    </row>
    <row customHeight="1" ht="15">
      <c r="A3" s="169"/>
      <c r="B3" s="169"/>
      <c r="C3" s="169"/>
      <c r="D3" s="169"/>
      <c r="E3" s="169"/>
    </row>
    <row customHeight="1" ht="15">
      <c r="A4" s="169"/>
      <c r="B4" s="169"/>
      <c r="C4" s="169"/>
      <c r="D4" s="169"/>
      <c r="E4" s="169"/>
    </row>
    <row customHeight="1" ht="15">
      <c r="A5" s="169"/>
      <c r="B5" s="169"/>
      <c r="C5" s="169"/>
      <c r="D5" s="169"/>
      <c r="E5" s="169"/>
    </row>
    <row customHeight="1" ht="15">
      <c r="A6" s="169"/>
      <c r="B6" s="169"/>
      <c r="C6" s="169"/>
      <c r="D6" s="169"/>
      <c r="E6" s="169"/>
    </row>
    <row customHeight="1" ht="15">
      <c r="A7" s="169"/>
      <c r="B7" s="169"/>
      <c r="C7" s="169"/>
      <c r="D7" s="169"/>
      <c r="E7" s="169"/>
    </row>
    <row customHeight="1" ht="15">
      <c r="A8" s="169"/>
      <c r="B8" s="169"/>
      <c r="C8" s="169"/>
      <c r="D8" s="169"/>
      <c r="E8" s="169"/>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938748-560D-1E43-7F9F-619AA8AF6C3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5165</v>
      </c>
      <c r="B1" s="0" t="b">
        <v>1</v>
      </c>
    </row>
    <row customHeight="1" ht="11.25">
      <c r="A2" s="0" t="s">
        <v>5166</v>
      </c>
      <c r="B2" s="0" t="b">
        <v>0</v>
      </c>
    </row>
    <row customHeight="1" ht="11.25">
      <c r="A3" s="0" t="s">
        <v>5167</v>
      </c>
      <c r="B3" s="0" t="b">
        <v>0</v>
      </c>
    </row>
    <row customHeight="1" ht="11.25">
      <c r="A4" s="0" t="s">
        <v>5168</v>
      </c>
      <c r="B4" s="0" t="b">
        <v>1</v>
      </c>
    </row>
    <row customHeight="1" ht="11.25">
      <c r="A5" s="0" t="s">
        <v>5169</v>
      </c>
      <c r="B5" s="0" t="b">
        <v>0</v>
      </c>
    </row>
    <row customHeight="1" ht="11.25">
      <c r="A6" s="0" t="s">
        <v>5170</v>
      </c>
      <c r="B6" s="0" t="b">
        <v>0</v>
      </c>
    </row>
    <row customHeight="1" ht="11.25">
      <c r="A7" s="0" t="s">
        <v>5171</v>
      </c>
      <c r="B7" s="0" t="b">
        <v>0</v>
      </c>
    </row>
    <row customHeight="1" ht="11.25">
      <c r="A8" s="0" t="s">
        <v>5172</v>
      </c>
      <c r="B8" s="0" t="b">
        <v>0</v>
      </c>
    </row>
    <row customHeight="1" ht="11.25">
      <c r="A9" s="0" t="s">
        <v>5173</v>
      </c>
      <c r="B9" s="0" t="b">
        <v>1</v>
      </c>
    </row>
    <row customHeight="1" ht="11.25">
      <c r="A10" s="0" t="s">
        <v>5174</v>
      </c>
      <c r="B10" s="0" t="b">
        <v>0</v>
      </c>
    </row>
    <row customHeight="1" ht="11.25">
      <c r="A11" s="0" t="s">
        <v>5175</v>
      </c>
      <c r="B11" s="0" t="b">
        <v>0</v>
      </c>
    </row>
    <row customHeight="1" ht="11.25">
      <c r="A12" s="0" t="s">
        <v>5176</v>
      </c>
      <c r="B12" s="0" t="b">
        <v>0</v>
      </c>
    </row>
    <row customHeight="1" ht="11.25">
      <c r="A13" s="0" t="s">
        <v>5177</v>
      </c>
      <c r="B13" s="0" t="b">
        <v>0</v>
      </c>
    </row>
    <row customHeight="1" ht="11.25">
      <c r="A14" s="0" t="s">
        <v>5178</v>
      </c>
      <c r="B14" s="0" t="b">
        <v>0</v>
      </c>
    </row>
    <row customHeight="1" ht="11.25">
      <c r="A15" s="0" t="s">
        <v>5179</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9EAA4A-D85F-943B-21A6-24BE60A0987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7655" width="9.140625"/>
  </cols>
  <sheetData>
    <row customHeight="1" ht="12.75">
      <c r="A1" s="62"/>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42AA8D-9A35-7141-4EED-B4C3303362EB}"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6" width="36.28125" customWidth="1"/>
    <col min="2" max="2" style="1856" width="21.140625" customWidth="1"/>
  </cols>
  <sheetData>
    <row customHeight="1" ht="11.25">
      <c r="A1" s="73" t="s">
        <v>5180</v>
      </c>
      <c r="B1" s="73" t="s">
        <v>5181</v>
      </c>
    </row>
    <row customHeight="1" ht="11.25">
      <c r="A2" s="70" t="s">
        <v>5182</v>
      </c>
      <c r="B2" s="70" t="s">
        <v>5183</v>
      </c>
    </row>
    <row customHeight="1" ht="11.25">
      <c r="A3" s="70" t="s">
        <v>5184</v>
      </c>
      <c r="B3" s="70" t="s">
        <v>5185</v>
      </c>
    </row>
    <row customHeight="1" ht="11.25">
      <c r="A4" s="70" t="s">
        <v>5186</v>
      </c>
      <c r="B4" s="70" t="s">
        <v>5187</v>
      </c>
    </row>
    <row customHeight="1" ht="11.25">
      <c r="A5" s="70" t="s">
        <v>5188</v>
      </c>
      <c r="B5" s="70" t="s">
        <v>5189</v>
      </c>
    </row>
    <row customHeight="1" ht="11.25">
      <c r="A6" s="70" t="s">
        <v>5190</v>
      </c>
      <c r="B6" s="70" t="s">
        <v>5191</v>
      </c>
    </row>
    <row customHeight="1" ht="11.25">
      <c r="A7" s="70" t="s">
        <v>5192</v>
      </c>
      <c r="B7" s="70" t="s">
        <v>5193</v>
      </c>
    </row>
    <row customHeight="1" ht="11.25">
      <c r="A8" s="70" t="s">
        <v>5194</v>
      </c>
      <c r="B8" s="70" t="s">
        <v>5195</v>
      </c>
    </row>
    <row customHeight="1" ht="11.25">
      <c r="A9" s="70" t="s">
        <v>5196</v>
      </c>
      <c r="B9" s="70" t="s">
        <v>5197</v>
      </c>
    </row>
    <row customHeight="1" ht="11.25">
      <c r="A10" s="70" t="s">
        <v>5198</v>
      </c>
      <c r="B10" s="70" t="s">
        <v>5199</v>
      </c>
    </row>
    <row customHeight="1" ht="11.25">
      <c r="A11" s="70" t="s">
        <v>5200</v>
      </c>
      <c r="B11" s="70" t="s">
        <v>5201</v>
      </c>
    </row>
    <row customHeight="1" ht="11.25">
      <c r="A12" s="70" t="s">
        <v>5202</v>
      </c>
      <c r="B12" s="70" t="s">
        <v>5203</v>
      </c>
    </row>
    <row customHeight="1" ht="11.25">
      <c r="A13" s="70" t="s">
        <v>5204</v>
      </c>
      <c r="B13" s="70" t="s">
        <v>5205</v>
      </c>
    </row>
    <row customHeight="1" ht="11.25">
      <c r="A14" s="70" t="s">
        <v>5206</v>
      </c>
      <c r="B14" s="70" t="s">
        <v>5207</v>
      </c>
    </row>
    <row customHeight="1" ht="11.25">
      <c r="A15" s="70" t="s">
        <v>5208</v>
      </c>
      <c r="B15" s="70" t="s">
        <v>5209</v>
      </c>
    </row>
    <row customHeight="1" ht="11.25">
      <c r="A16" s="70" t="s">
        <v>5210</v>
      </c>
      <c r="B16" s="70" t="s">
        <v>5211</v>
      </c>
    </row>
    <row customHeight="1" ht="11.25">
      <c r="A17" s="70" t="s">
        <v>5212</v>
      </c>
      <c r="B17" s="70" t="s">
        <v>5213</v>
      </c>
    </row>
    <row customHeight="1" ht="11.25">
      <c r="A18" s="70" t="s">
        <v>5214</v>
      </c>
      <c r="B18" s="70" t="s">
        <v>5215</v>
      </c>
    </row>
    <row customHeight="1" ht="11.25">
      <c r="A19" s="70" t="s">
        <v>5216</v>
      </c>
      <c r="B19" s="70" t="s">
        <v>5217</v>
      </c>
    </row>
    <row customHeight="1" ht="11.25">
      <c r="A20" s="70" t="s">
        <v>5218</v>
      </c>
      <c r="B20" s="70" t="s">
        <v>5219</v>
      </c>
    </row>
    <row customHeight="1" ht="11.25">
      <c r="A21" s="70" t="s">
        <v>5220</v>
      </c>
      <c r="B21" s="70" t="s">
        <v>5221</v>
      </c>
    </row>
    <row customHeight="1" ht="11.25">
      <c r="A22" s="70" t="s">
        <v>5222</v>
      </c>
      <c r="B22" s="70" t="s">
        <v>5223</v>
      </c>
    </row>
    <row customHeight="1" ht="11.25">
      <c r="A23" s="70" t="s">
        <v>5224</v>
      </c>
      <c r="B23" s="70" t="s">
        <v>5225</v>
      </c>
    </row>
    <row customHeight="1" ht="11.25">
      <c r="A24" s="70" t="s">
        <v>5226</v>
      </c>
      <c r="B24" s="70" t="s">
        <v>5227</v>
      </c>
    </row>
    <row customHeight="1" ht="11.25">
      <c r="A25" s="70" t="s">
        <v>5228</v>
      </c>
      <c r="B25" s="70" t="s">
        <v>5229</v>
      </c>
    </row>
    <row customHeight="1" ht="11.25">
      <c r="A26" s="70" t="s">
        <v>5230</v>
      </c>
      <c r="B26" s="70" t="s">
        <v>5231</v>
      </c>
    </row>
    <row customHeight="1" ht="11.25">
      <c r="A27" s="70" t="s">
        <v>5232</v>
      </c>
      <c r="B27" s="70" t="s">
        <v>5233</v>
      </c>
    </row>
    <row customHeight="1" ht="11.25">
      <c r="A28" s="70" t="s">
        <v>5234</v>
      </c>
      <c r="B28" s="70" t="s">
        <v>5235</v>
      </c>
    </row>
    <row customHeight="1" ht="11.25">
      <c r="A29" s="70" t="s">
        <v>5236</v>
      </c>
      <c r="B29" s="70" t="s">
        <v>5237</v>
      </c>
    </row>
    <row customHeight="1" ht="11.25">
      <c r="A30" s="70" t="s">
        <v>5238</v>
      </c>
      <c r="B30" s="70" t="s">
        <v>5239</v>
      </c>
    </row>
    <row customHeight="1" ht="11.25">
      <c r="A31" s="70" t="s">
        <v>5240</v>
      </c>
      <c r="B31" s="70" t="s">
        <v>5241</v>
      </c>
    </row>
    <row customHeight="1" ht="11.25">
      <c r="A32" s="70" t="s">
        <v>5242</v>
      </c>
      <c r="B32" s="70" t="s">
        <v>5243</v>
      </c>
    </row>
    <row customHeight="1" ht="11.25">
      <c r="A33" s="70" t="s">
        <v>5244</v>
      </c>
      <c r="B33" s="70" t="s">
        <v>5245</v>
      </c>
    </row>
    <row customHeight="1" ht="11.25">
      <c r="A34" s="70" t="s">
        <v>5246</v>
      </c>
      <c r="B34" s="70" t="s">
        <v>5247</v>
      </c>
    </row>
    <row customHeight="1" ht="11.25">
      <c r="A35" s="70" t="s">
        <v>5248</v>
      </c>
      <c r="B35" s="70" t="s">
        <v>5249</v>
      </c>
    </row>
    <row customHeight="1" ht="11.25">
      <c r="A36" s="70" t="s">
        <v>5250</v>
      </c>
      <c r="B36" s="70" t="s">
        <v>5251</v>
      </c>
    </row>
    <row customHeight="1" ht="11.25">
      <c r="A37" s="70" t="s">
        <v>5252</v>
      </c>
      <c r="B37" s="70" t="s">
        <v>5253</v>
      </c>
    </row>
    <row customHeight="1" ht="11.25">
      <c r="A38" s="70" t="s">
        <v>5254</v>
      </c>
      <c r="B38" s="70" t="s">
        <v>5255</v>
      </c>
    </row>
    <row customHeight="1" ht="11.25">
      <c r="A39" s="70" t="s">
        <v>5256</v>
      </c>
      <c r="B39" s="70" t="s">
        <v>5257</v>
      </c>
    </row>
    <row customHeight="1" ht="11.25">
      <c r="A40" s="70" t="s">
        <v>5258</v>
      </c>
      <c r="B40" s="70" t="s">
        <v>5259</v>
      </c>
    </row>
    <row customHeight="1" ht="11.25">
      <c r="A41" s="70" t="s">
        <v>5260</v>
      </c>
      <c r="B41" s="70" t="s">
        <v>5261</v>
      </c>
    </row>
    <row customHeight="1" ht="11.25">
      <c r="A42" s="70" t="s">
        <v>5262</v>
      </c>
      <c r="B42" s="70" t="s">
        <v>5263</v>
      </c>
    </row>
    <row customHeight="1" ht="11.25">
      <c r="A43" s="70" t="s">
        <v>5264</v>
      </c>
      <c r="B43" s="70" t="s">
        <v>5265</v>
      </c>
    </row>
    <row customHeight="1" ht="11.25">
      <c r="A44" s="70" t="s">
        <v>5266</v>
      </c>
      <c r="B44" s="70" t="s">
        <v>5267</v>
      </c>
    </row>
    <row customHeight="1" ht="11.25">
      <c r="A45" s="70" t="s">
        <v>5268</v>
      </c>
      <c r="B45" s="70" t="s">
        <v>5269</v>
      </c>
    </row>
    <row customHeight="1" ht="11.25">
      <c r="A46" s="70" t="s">
        <v>5270</v>
      </c>
      <c r="B46" s="70" t="s">
        <v>5271</v>
      </c>
    </row>
    <row customHeight="1" ht="11.25">
      <c r="A47" s="70" t="s">
        <v>5272</v>
      </c>
      <c r="B47" s="70" t="s">
        <v>5273</v>
      </c>
    </row>
    <row customHeight="1" ht="11.25">
      <c r="A48" s="70" t="s">
        <v>5274</v>
      </c>
      <c r="B48" s="70" t="s">
        <v>5275</v>
      </c>
    </row>
    <row customHeight="1" ht="11.25">
      <c r="A49" s="70" t="s">
        <v>5276</v>
      </c>
      <c r="B49" s="70" t="s">
        <v>5277</v>
      </c>
    </row>
    <row customHeight="1" ht="11.25">
      <c r="A50" s="70" t="s">
        <v>5278</v>
      </c>
      <c r="B50" s="70" t="s">
        <v>5279</v>
      </c>
    </row>
    <row customHeight="1" ht="11.25">
      <c r="A51" s="70" t="s">
        <v>5280</v>
      </c>
      <c r="B51" s="70" t="s">
        <v>5281</v>
      </c>
    </row>
    <row customHeight="1" ht="11.25">
      <c r="A52" s="70" t="s">
        <v>5282</v>
      </c>
      <c r="B52" s="70" t="s">
        <v>5283</v>
      </c>
    </row>
    <row customHeight="1" ht="11.25">
      <c r="A53" s="70" t="s">
        <v>5284</v>
      </c>
      <c r="B53" s="70" t="s">
        <v>5285</v>
      </c>
    </row>
    <row customHeight="1" ht="11.25">
      <c r="A54" s="70" t="s">
        <v>5286</v>
      </c>
      <c r="B54" s="70" t="s">
        <v>5287</v>
      </c>
    </row>
    <row customHeight="1" ht="11.25">
      <c r="A55" s="70" t="s">
        <v>5288</v>
      </c>
      <c r="B55" s="70" t="s">
        <v>5289</v>
      </c>
    </row>
    <row customHeight="1" ht="11.25">
      <c r="A56" s="70" t="s">
        <v>5290</v>
      </c>
      <c r="B56" s="70" t="s">
        <v>5291</v>
      </c>
    </row>
    <row customHeight="1" ht="11.25">
      <c r="A57" s="70" t="s">
        <v>5292</v>
      </c>
      <c r="B57" s="70" t="s">
        <v>5293</v>
      </c>
    </row>
    <row customHeight="1" ht="11.25">
      <c r="A58" s="70" t="s">
        <v>5294</v>
      </c>
      <c r="B58" s="70" t="s">
        <v>5295</v>
      </c>
    </row>
    <row customHeight="1" ht="11.25">
      <c r="A59" s="70" t="s">
        <v>5296</v>
      </c>
      <c r="B59" s="70" t="s">
        <v>5297</v>
      </c>
    </row>
    <row customHeight="1" ht="11.25">
      <c r="A60" s="70" t="s">
        <v>5298</v>
      </c>
      <c r="B60" s="70" t="s">
        <v>5299</v>
      </c>
    </row>
    <row customHeight="1" ht="11.25">
      <c r="A61" s="70"/>
      <c r="B61" s="70" t="s">
        <v>5300</v>
      </c>
    </row>
    <row customHeight="1" ht="11.25">
      <c r="A62" s="70"/>
      <c r="B62" s="70" t="s">
        <v>5301</v>
      </c>
    </row>
    <row customHeight="1" ht="11.25">
      <c r="A63" s="70"/>
      <c r="B63" s="70" t="s">
        <v>5302</v>
      </c>
    </row>
    <row customHeight="1" ht="11.25">
      <c r="A64" s="70"/>
      <c r="B64" s="70" t="s">
        <v>5303</v>
      </c>
    </row>
    <row customHeight="1" ht="11.25">
      <c r="A65" s="70"/>
      <c r="B65" s="70" t="s">
        <v>5304</v>
      </c>
    </row>
    <row customHeight="1" ht="11.25">
      <c r="A66" s="70"/>
      <c r="B66" s="70" t="s">
        <v>5305</v>
      </c>
    </row>
    <row customHeight="1" ht="11.25">
      <c r="A67" s="70"/>
      <c r="B67" s="70" t="s">
        <v>5306</v>
      </c>
    </row>
    <row customHeight="1" ht="11.25">
      <c r="A68" s="70"/>
      <c r="B68" s="70" t="s">
        <v>5307</v>
      </c>
    </row>
    <row customHeight="1" ht="11.25">
      <c r="A69" s="70"/>
      <c r="B69" s="70" t="s">
        <v>5308</v>
      </c>
    </row>
    <row customHeight="1" ht="11.25">
      <c r="A70" s="70"/>
      <c r="B70" s="70" t="s">
        <v>5309</v>
      </c>
    </row>
    <row customHeight="1" ht="11.25">
      <c r="A71" s="70"/>
      <c r="B71" s="70"/>
    </row>
    <row customHeight="1" ht="11.25">
      <c r="A72" s="70"/>
      <c r="B72" s="70"/>
    </row>
    <row customHeight="1" ht="11.25">
      <c r="A73" s="70"/>
      <c r="B73" s="70"/>
    </row>
    <row customHeight="1" ht="11.25">
      <c r="A74" s="70"/>
      <c r="B74" s="70"/>
    </row>
    <row customHeight="1" ht="11.25">
      <c r="A75" s="70"/>
      <c r="B75" s="70"/>
    </row>
    <row customHeight="1" ht="11.25">
      <c r="A76" s="70"/>
      <c r="B76" s="70"/>
    </row>
    <row customHeight="1" ht="11.25">
      <c r="A77" s="70"/>
      <c r="B77" s="70"/>
    </row>
    <row customHeight="1" ht="11.25">
      <c r="A78" s="70"/>
      <c r="B78" s="70"/>
    </row>
    <row customHeight="1" ht="11.25">
      <c r="A79" s="70"/>
      <c r="B79" s="70"/>
    </row>
    <row customHeight="1" ht="11.25">
      <c r="A80" s="70"/>
      <c r="B80" s="70"/>
    </row>
    <row customHeight="1" ht="11.25">
      <c r="A81" s="70"/>
      <c r="B81" s="70"/>
    </row>
    <row customHeight="1" ht="11.25">
      <c r="A82" s="70"/>
      <c r="B82" s="70"/>
    </row>
    <row customHeight="1" ht="11.25">
      <c r="A83" s="70"/>
      <c r="B83" s="70"/>
    </row>
    <row customHeight="1" ht="11.25">
      <c r="A84" s="70"/>
      <c r="B84" s="70"/>
    </row>
    <row customHeight="1" ht="11.25">
      <c r="A85" s="70"/>
      <c r="B85" s="70"/>
    </row>
    <row customHeight="1" ht="11.25">
      <c r="A86" s="70"/>
      <c r="B86" s="70"/>
    </row>
    <row customHeight="1" ht="11.25">
      <c r="A87" s="70"/>
      <c r="B87" s="70"/>
    </row>
    <row customHeight="1" ht="11.25">
      <c r="A88" s="70"/>
      <c r="B88" s="70"/>
    </row>
    <row customHeight="1" ht="11.25">
      <c r="A89" s="70"/>
      <c r="B89" s="70"/>
    </row>
    <row customHeight="1" ht="11.25">
      <c r="A90" s="70"/>
      <c r="B90" s="70"/>
    </row>
    <row customHeight="1" ht="11.25">
      <c r="A91" s="70"/>
      <c r="B91" s="70"/>
    </row>
    <row customHeight="1" ht="11.25">
      <c r="A92" s="70"/>
      <c r="B92" s="70"/>
    </row>
    <row customHeight="1" ht="11.25">
      <c r="A93" s="70"/>
      <c r="B93" s="70"/>
    </row>
    <row customHeight="1" ht="11.25">
      <c r="A94" s="70"/>
      <c r="B94" s="70"/>
    </row>
    <row customHeight="1" ht="11.25">
      <c r="A95" s="70"/>
      <c r="B95" s="70"/>
    </row>
    <row customHeight="1" ht="11.25">
      <c r="A96" s="70"/>
      <c r="B96" s="70"/>
    </row>
    <row customHeight="1" ht="11.25">
      <c r="A97" s="70"/>
      <c r="B97" s="70"/>
    </row>
    <row customHeight="1" ht="11.25">
      <c r="A98" s="70"/>
      <c r="B98" s="70"/>
    </row>
    <row customHeight="1" ht="11.25">
      <c r="A99" s="70"/>
      <c r="B99" s="70"/>
    </row>
    <row customHeight="1" ht="11.25">
      <c r="A100" s="70"/>
      <c r="B100" s="70"/>
    </row>
    <row customHeight="1" ht="11.25">
      <c r="A101" s="70"/>
      <c r="B101" s="70"/>
    </row>
    <row customHeight="1" ht="11.25">
      <c r="A102" s="70"/>
      <c r="B102" s="70"/>
    </row>
    <row customHeight="1" ht="11.25">
      <c r="A103" s="70"/>
      <c r="B103" s="70"/>
    </row>
    <row customHeight="1" ht="11.25">
      <c r="A104" s="70"/>
      <c r="B104" s="70"/>
    </row>
    <row customHeight="1" ht="11.25">
      <c r="A105" s="70"/>
      <c r="B105" s="70"/>
    </row>
    <row customHeight="1" ht="11.25">
      <c r="A106" s="70"/>
      <c r="B106" s="70"/>
    </row>
    <row customHeight="1" ht="11.25">
      <c r="A107" s="70"/>
      <c r="B107" s="70"/>
    </row>
    <row customHeight="1" ht="11.25">
      <c r="A108" s="70"/>
      <c r="B108" s="70"/>
    </row>
    <row customHeight="1" ht="11.25">
      <c r="A109" s="70"/>
      <c r="B109" s="70"/>
    </row>
    <row customHeight="1" ht="11.25">
      <c r="A110" s="70"/>
      <c r="B110" s="70"/>
    </row>
    <row customHeight="1" ht="11.25">
      <c r="A111" s="70"/>
      <c r="B111" s="70"/>
    </row>
    <row customHeight="1" ht="11.25">
      <c r="A112" s="70"/>
      <c r="B112" s="70"/>
    </row>
    <row customHeight="1" ht="11.25">
      <c r="A113" s="70"/>
      <c r="B113" s="70"/>
    </row>
    <row customHeight="1" ht="11.25">
      <c r="A114" s="70"/>
      <c r="B114" s="70"/>
    </row>
    <row customHeight="1" ht="11.25">
      <c r="A115" s="70"/>
      <c r="B115" s="70"/>
    </row>
    <row customHeight="1" ht="11.25">
      <c r="A116" s="70"/>
      <c r="B116" s="70"/>
    </row>
    <row customHeight="1" ht="11.25">
      <c r="A117" s="70"/>
      <c r="B117" s="70"/>
    </row>
    <row customHeight="1" ht="11.25">
      <c r="A118" s="70"/>
      <c r="B118" s="70"/>
    </row>
    <row customHeight="1" ht="11.25">
      <c r="A119" s="70"/>
      <c r="B119" s="70"/>
    </row>
    <row customHeight="1" ht="11.25">
      <c r="A120" s="70"/>
      <c r="B120" s="70"/>
    </row>
    <row customHeight="1" ht="11.25">
      <c r="A121" s="70"/>
      <c r="B121" s="70"/>
    </row>
    <row customHeight="1" ht="11.25">
      <c r="A122" s="70"/>
      <c r="B122" s="70"/>
    </row>
    <row customHeight="1" ht="11.25">
      <c r="A123" s="70"/>
      <c r="B123" s="70"/>
    </row>
    <row customHeight="1" ht="11.25">
      <c r="A124" s="70"/>
      <c r="B124" s="70"/>
    </row>
    <row customHeight="1" ht="11.25">
      <c r="A125" s="70"/>
      <c r="B125" s="70"/>
    </row>
    <row customHeight="1" ht="11.25">
      <c r="A126" s="70"/>
      <c r="B126" s="70"/>
    </row>
    <row customHeight="1" ht="11.25">
      <c r="A127" s="70"/>
      <c r="B127" s="70"/>
    </row>
    <row customHeight="1" ht="11.25">
      <c r="A128" s="70"/>
      <c r="B128" s="70"/>
    </row>
    <row customHeight="1" ht="11.25">
      <c r="A129" s="70"/>
      <c r="B129" s="70"/>
    </row>
    <row customHeight="1" ht="11.25">
      <c r="A130" s="70"/>
      <c r="B130" s="70"/>
    </row>
    <row customHeight="1" ht="11.25">
      <c r="A131" s="70"/>
      <c r="B131" s="70"/>
    </row>
    <row customHeight="1" ht="11.25">
      <c r="A132" s="70"/>
      <c r="B132" s="70"/>
    </row>
    <row customHeight="1" ht="11.25">
      <c r="A133" s="70"/>
      <c r="B133" s="70"/>
    </row>
    <row customHeight="1" ht="11.25">
      <c r="A134" s="70"/>
      <c r="B134" s="70"/>
    </row>
    <row customHeight="1" ht="11.25">
      <c r="A135" s="70"/>
      <c r="B135" s="70"/>
    </row>
    <row customHeight="1" ht="11.25">
      <c r="A136" s="70"/>
      <c r="B136" s="70"/>
    </row>
    <row customHeight="1" ht="11.25">
      <c r="A137" s="70"/>
      <c r="B137" s="70"/>
    </row>
    <row customHeight="1" ht="11.25">
      <c r="A138" s="70"/>
      <c r="B138" s="70"/>
    </row>
    <row customHeight="1" ht="11.25">
      <c r="A139" s="70"/>
      <c r="B139" s="70"/>
    </row>
    <row customHeight="1" ht="11.25">
      <c r="A140" s="70"/>
      <c r="B140" s="70"/>
    </row>
    <row customHeight="1" ht="11.25">
      <c r="A141" s="70"/>
      <c r="B141" s="70"/>
    </row>
    <row customHeight="1" ht="11.25">
      <c r="A142" s="70"/>
      <c r="B142" s="70"/>
    </row>
    <row customHeight="1" ht="11.25">
      <c r="A143" s="70"/>
      <c r="B143" s="70"/>
    </row>
    <row customHeight="1" ht="11.25">
      <c r="A144" s="70"/>
      <c r="B144" s="70"/>
    </row>
    <row customHeight="1" ht="11.25">
      <c r="A145" s="70"/>
      <c r="B145" s="70"/>
    </row>
    <row customHeight="1" ht="11.25">
      <c r="A146" s="70"/>
      <c r="B146" s="70"/>
    </row>
    <row customHeight="1" ht="11.25">
      <c r="A147" s="70"/>
      <c r="B147" s="70"/>
    </row>
    <row customHeight="1" ht="11.25">
      <c r="A148" s="70"/>
      <c r="B148" s="70"/>
    </row>
    <row customHeight="1" ht="11.25">
      <c r="A149" s="70"/>
      <c r="B149" s="70"/>
    </row>
    <row customHeight="1" ht="11.25">
      <c r="A150" s="70"/>
      <c r="B150" s="70"/>
    </row>
    <row customHeight="1" ht="11.25">
      <c r="A151" s="70"/>
      <c r="B151" s="70"/>
    </row>
    <row customHeight="1" ht="11.25">
      <c r="A152" s="70"/>
      <c r="B152" s="70"/>
    </row>
    <row customHeight="1" ht="11.25">
      <c r="A153" s="70"/>
      <c r="B153" s="70"/>
    </row>
    <row customHeight="1" ht="11.25">
      <c r="A154" s="70"/>
      <c r="B154" s="70"/>
    </row>
    <row customHeight="1" ht="11.25">
      <c r="A155" s="70"/>
      <c r="B155" s="70"/>
    </row>
    <row customHeight="1" ht="11.25">
      <c r="A156" s="70"/>
      <c r="B156" s="70"/>
    </row>
    <row customHeight="1" ht="11.25">
      <c r="A157" s="70"/>
      <c r="B157" s="70"/>
    </row>
    <row customHeight="1" ht="11.25">
      <c r="A158" s="70"/>
      <c r="B158" s="70"/>
    </row>
    <row customHeight="1" ht="11.25">
      <c r="A159" s="70"/>
      <c r="B159" s="70"/>
    </row>
    <row customHeight="1" ht="11.25">
      <c r="A160" s="70"/>
      <c r="B160" s="70"/>
    </row>
    <row customHeight="1" ht="11.25">
      <c r="A161" s="70"/>
      <c r="B161" s="70"/>
    </row>
    <row customHeight="1" ht="11.25">
      <c r="A162" s="70"/>
      <c r="B162" s="70"/>
    </row>
    <row customHeight="1" ht="11.25">
      <c r="A163" s="70"/>
      <c r="B163" s="70"/>
    </row>
    <row customHeight="1" ht="11.25">
      <c r="A164" s="70"/>
      <c r="B164" s="70"/>
    </row>
    <row customHeight="1" ht="11.25">
      <c r="A165" s="70"/>
      <c r="B165" s="70"/>
    </row>
    <row customHeight="1" ht="11.25">
      <c r="A166" s="70"/>
      <c r="B166" s="70"/>
    </row>
    <row customHeight="1" ht="11.25">
      <c r="A167" s="70"/>
      <c r="B167" s="70"/>
    </row>
    <row customHeight="1" ht="11.25">
      <c r="A168" s="70"/>
      <c r="B168" s="70"/>
    </row>
    <row customHeight="1" ht="11.25">
      <c r="A169" s="70"/>
      <c r="B169" s="70"/>
    </row>
    <row customHeight="1" ht="11.25">
      <c r="A170" s="70"/>
      <c r="B170" s="70"/>
    </row>
    <row customHeight="1" ht="11.25">
      <c r="A171" s="70"/>
      <c r="B171" s="70"/>
    </row>
    <row customHeight="1" ht="11.25">
      <c r="A172" s="70"/>
      <c r="B172" s="70"/>
    </row>
    <row customHeight="1" ht="11.25">
      <c r="A173" s="70"/>
      <c r="B173" s="70"/>
    </row>
    <row customHeight="1" ht="11.25">
      <c r="A174" s="70"/>
      <c r="B174" s="70"/>
    </row>
    <row customHeight="1" ht="11.25">
      <c r="A175" s="70"/>
      <c r="B175" s="70"/>
    </row>
    <row customHeight="1" ht="11.25">
      <c r="A176" s="70"/>
      <c r="B176" s="70"/>
    </row>
    <row customHeight="1" ht="11.25">
      <c r="A177" s="70"/>
      <c r="B177" s="70"/>
    </row>
    <row customHeight="1" ht="11.25">
      <c r="A178" s="70"/>
      <c r="B178" s="70"/>
    </row>
    <row customHeight="1" ht="11.25">
      <c r="A179" s="70"/>
      <c r="B179" s="70"/>
    </row>
    <row customHeight="1" ht="11.25">
      <c r="A180" s="70"/>
      <c r="B180" s="70"/>
    </row>
    <row customHeight="1" ht="11.25">
      <c r="A181" s="70"/>
      <c r="B181" s="70"/>
    </row>
    <row customHeight="1" ht="11.25">
      <c r="A182" s="70"/>
      <c r="B182" s="70"/>
    </row>
    <row customHeight="1" ht="11.25">
      <c r="A183" s="70"/>
      <c r="B183" s="70"/>
    </row>
    <row customHeight="1" ht="11.25">
      <c r="A184" s="70"/>
      <c r="B184" s="70"/>
    </row>
    <row customHeight="1" ht="11.25">
      <c r="A185" s="70"/>
      <c r="B185" s="70"/>
    </row>
    <row customHeight="1" ht="11.25">
      <c r="A186" s="70"/>
      <c r="B186" s="70"/>
    </row>
    <row customHeight="1" ht="11.25">
      <c r="A187" s="70"/>
      <c r="B187" s="70"/>
    </row>
    <row customHeight="1" ht="11.25">
      <c r="A188" s="70"/>
      <c r="B188" s="70"/>
    </row>
    <row customHeight="1" ht="11.25">
      <c r="A189" s="70"/>
      <c r="B189" s="70"/>
    </row>
    <row customHeight="1" ht="11.25">
      <c r="A190" s="70"/>
      <c r="B190" s="70"/>
    </row>
    <row customHeight="1" ht="11.25">
      <c r="A191" s="70"/>
      <c r="B191" s="70"/>
    </row>
    <row customHeight="1" ht="11.25">
      <c r="A192" s="70"/>
      <c r="B192" s="70"/>
    </row>
    <row customHeight="1" ht="11.25">
      <c r="A193" s="70"/>
      <c r="B193" s="70"/>
    </row>
    <row customHeight="1" ht="11.25">
      <c r="A194" s="70"/>
      <c r="B194" s="70"/>
    </row>
    <row customHeight="1" ht="11.25">
      <c r="A195" s="70"/>
      <c r="B195" s="70"/>
    </row>
    <row customHeight="1" ht="11.25">
      <c r="A196" s="70"/>
      <c r="B196" s="70"/>
    </row>
    <row customHeight="1" ht="11.25">
      <c r="A197" s="70"/>
      <c r="B197" s="70"/>
    </row>
    <row customHeight="1" ht="11.25">
      <c r="A198" s="70"/>
      <c r="B198" s="70"/>
    </row>
    <row customHeight="1" ht="11.25">
      <c r="A199" s="70"/>
      <c r="B199" s="70"/>
    </row>
    <row customHeight="1" ht="11.25">
      <c r="A200" s="70"/>
      <c r="B200" s="70"/>
    </row>
    <row customHeight="1" ht="11.25">
      <c r="A201" s="70"/>
      <c r="B201" s="70"/>
    </row>
    <row customHeight="1" ht="11.25">
      <c r="A202" s="70"/>
      <c r="B202" s="70"/>
    </row>
    <row customHeight="1" ht="11.25">
      <c r="A203" s="70"/>
      <c r="B203" s="70"/>
    </row>
    <row customHeight="1" ht="11.25">
      <c r="A204" s="70"/>
      <c r="B204" s="70"/>
    </row>
    <row customHeight="1" ht="11.25">
      <c r="A205" s="70"/>
      <c r="B205" s="70"/>
    </row>
    <row customHeight="1" ht="11.25">
      <c r="A206" s="70"/>
      <c r="B206" s="70"/>
    </row>
    <row customHeight="1" ht="11.25">
      <c r="A207" s="70"/>
      <c r="B207" s="70"/>
    </row>
    <row customHeight="1" ht="11.25">
      <c r="A208" s="70"/>
      <c r="B208" s="70"/>
    </row>
    <row customHeight="1" ht="11.25">
      <c r="A209" s="70"/>
      <c r="B209" s="70"/>
    </row>
    <row customHeight="1" ht="11.25">
      <c r="A210" s="70"/>
      <c r="B210" s="70"/>
    </row>
    <row customHeight="1" ht="11.25">
      <c r="A211" s="70"/>
      <c r="B211" s="70"/>
    </row>
    <row customHeight="1" ht="11.25">
      <c r="A212" s="70"/>
      <c r="B212" s="70"/>
    </row>
    <row customHeight="1" ht="11.25">
      <c r="A213" s="70"/>
      <c r="B213" s="70"/>
    </row>
    <row customHeight="1" ht="11.25">
      <c r="A214" s="70"/>
      <c r="B214" s="70"/>
    </row>
    <row customHeight="1" ht="11.25">
      <c r="A215" s="70"/>
      <c r="B215" s="70"/>
    </row>
    <row customHeight="1" ht="11.25">
      <c r="A216" s="70"/>
      <c r="B216" s="70"/>
    </row>
    <row customHeight="1" ht="11.25">
      <c r="A217" s="70"/>
      <c r="B217" s="70"/>
    </row>
    <row customHeight="1" ht="11.25">
      <c r="A218" s="70"/>
      <c r="B218" s="70"/>
    </row>
    <row customHeight="1" ht="11.25">
      <c r="A219" s="70"/>
      <c r="B219" s="70"/>
    </row>
    <row customHeight="1" ht="11.25">
      <c r="A220" s="70"/>
      <c r="B220" s="70"/>
    </row>
    <row customHeight="1" ht="11.25">
      <c r="A221" s="70"/>
      <c r="B221" s="70"/>
    </row>
    <row customHeight="1" ht="11.25">
      <c r="A222" s="70"/>
      <c r="B222" s="70"/>
    </row>
    <row customHeight="1" ht="11.25">
      <c r="A223" s="70"/>
      <c r="B223" s="70"/>
    </row>
    <row customHeight="1" ht="11.25">
      <c r="A224" s="70"/>
      <c r="B224" s="70"/>
    </row>
    <row customHeight="1" ht="11.25">
      <c r="A225" s="70"/>
      <c r="B225" s="70"/>
    </row>
    <row customHeight="1" ht="11.25">
      <c r="A226" s="70"/>
      <c r="B226" s="70"/>
    </row>
    <row customHeight="1" ht="11.25">
      <c r="A227" s="70"/>
      <c r="B227" s="70"/>
    </row>
    <row customHeight="1" ht="11.25">
      <c r="A228" s="70"/>
      <c r="B228" s="70"/>
    </row>
    <row customHeight="1" ht="11.25">
      <c r="A229" s="70"/>
      <c r="B229" s="70"/>
    </row>
    <row customHeight="1" ht="11.25">
      <c r="A230" s="70"/>
      <c r="B230" s="70"/>
    </row>
    <row customHeight="1" ht="11.25">
      <c r="A231" s="70"/>
      <c r="B231" s="70"/>
    </row>
    <row customHeight="1" ht="11.25">
      <c r="A232" s="70"/>
      <c r="B232" s="70"/>
    </row>
    <row customHeight="1" ht="11.25">
      <c r="A233" s="70"/>
      <c r="B233" s="70"/>
    </row>
    <row customHeight="1" ht="11.25">
      <c r="A234" s="70"/>
      <c r="B234" s="70"/>
    </row>
    <row customHeight="1" ht="11.25">
      <c r="A235" s="70"/>
      <c r="B235" s="70"/>
    </row>
    <row customHeight="1" ht="11.25">
      <c r="A236" s="70"/>
      <c r="B236" s="70"/>
    </row>
    <row customHeight="1" ht="11.25">
      <c r="A237" s="70"/>
      <c r="B237" s="70"/>
    </row>
    <row customHeight="1" ht="11.25">
      <c r="A238" s="70"/>
      <c r="B238" s="70"/>
    </row>
    <row customHeight="1" ht="11.25">
      <c r="A239" s="70"/>
      <c r="B239" s="70"/>
    </row>
    <row customHeight="1" ht="11.25">
      <c r="A240" s="70"/>
      <c r="B240" s="70"/>
    </row>
    <row customHeight="1" ht="11.25">
      <c r="A241" s="70"/>
      <c r="B241" s="70"/>
    </row>
    <row customHeight="1" ht="11.25">
      <c r="A242" s="70"/>
      <c r="B242" s="70"/>
    </row>
    <row customHeight="1" ht="11.25">
      <c r="A243" s="70"/>
      <c r="B243" s="70"/>
    </row>
    <row customHeight="1" ht="11.25">
      <c r="A244" s="70"/>
      <c r="B244" s="70"/>
    </row>
    <row customHeight="1" ht="11.25">
      <c r="A245" s="70"/>
      <c r="B245" s="70"/>
    </row>
    <row customHeight="1" ht="11.25">
      <c r="A246" s="70"/>
      <c r="B246" s="70"/>
    </row>
    <row customHeight="1" ht="11.25">
      <c r="A247" s="70"/>
      <c r="B247" s="70"/>
    </row>
    <row customHeight="1" ht="11.25">
      <c r="A248" s="70"/>
      <c r="B248" s="70"/>
    </row>
    <row customHeight="1" ht="11.25">
      <c r="A249" s="70"/>
      <c r="B249" s="70"/>
    </row>
    <row customHeight="1" ht="11.25">
      <c r="A250" s="70"/>
      <c r="B250" s="70"/>
    </row>
    <row customHeight="1" ht="11.25">
      <c r="A251" s="70"/>
      <c r="B251" s="70"/>
    </row>
    <row customHeight="1" ht="11.25">
      <c r="A252" s="70"/>
      <c r="B252" s="70"/>
    </row>
    <row customHeight="1" ht="11.25">
      <c r="A253" s="70"/>
      <c r="B253" s="70"/>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B061D1-1AE6-5A2D-28B4-A485430E28F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6" width="3.7109375" customWidth="1"/>
    <col min="2" max="2" style="1856" width="90.7109375" customWidth="1"/>
    <col min="3" max="4" style="1856" width="9.140625"/>
  </cols>
  <sheetData>
    <row customHeight="1" ht="11.25">
      <c r="B1" s="99" t="s">
        <v>5310</v>
      </c>
    </row>
    <row customHeight="1" ht="90">
      <c r="B2" s="100" t="s">
        <v>5311</v>
      </c>
    </row>
    <row customHeight="1" ht="67.5">
      <c r="B3" s="100" t="s">
        <v>5312</v>
      </c>
    </row>
    <row customHeight="1" ht="33.75">
      <c r="B4" s="100" t="s">
        <v>5313</v>
      </c>
    </row>
    <row customHeight="1" ht="11.25">
      <c r="B5" s="100" t="s">
        <v>5314</v>
      </c>
    </row>
    <row customHeight="1" ht="22.5">
      <c r="B6" s="100" t="s">
        <v>5315</v>
      </c>
    </row>
    <row customHeight="1" ht="22.5">
      <c r="B7" s="100" t="s">
        <v>5316</v>
      </c>
    </row>
    <row customHeight="1" ht="22.5">
      <c r="B8" s="100" t="s">
        <v>5317</v>
      </c>
    </row>
    <row customHeight="1" ht="22.5">
      <c r="B9" s="100" t="s">
        <v>5318</v>
      </c>
    </row>
    <row customHeight="1" ht="56.25">
      <c r="B10" s="100" t="s">
        <v>5319</v>
      </c>
    </row>
    <row customHeight="1" ht="12.75">
      <c r="B11" s="165" t="s">
        <v>5320</v>
      </c>
    </row>
    <row customHeight="1" ht="11.25">
      <c r="B12" s="99" t="s">
        <v>5321</v>
      </c>
    </row>
    <row customHeight="1" ht="22.5">
      <c r="B13" s="100" t="s">
        <v>5322</v>
      </c>
    </row>
    <row customHeight="1" ht="67.5">
      <c r="B14" s="100" t="s">
        <v>5323</v>
      </c>
    </row>
    <row customHeight="1" ht="22.5">
      <c r="B15" s="100" t="s">
        <v>5324</v>
      </c>
    </row>
    <row customHeight="1" ht="11.25">
      <c r="B16" s="99" t="s">
        <v>5325</v>
      </c>
      <c r="D16" s="106"/>
    </row>
    <row customHeight="1" ht="33.75">
      <c r="B17" s="100" t="s">
        <v>5326</v>
      </c>
    </row>
    <row customHeight="1" ht="33.75">
      <c r="B18" s="100" t="s">
        <v>5327</v>
      </c>
    </row>
    <row customHeight="1" ht="11.25">
      <c r="B19" s="100" t="s">
        <v>5328</v>
      </c>
    </row>
    <row customHeight="1" ht="33.75">
      <c r="B20" s="100" t="s">
        <v>5329</v>
      </c>
    </row>
    <row customHeight="1" ht="11.25">
      <c r="B21" s="99" t="s">
        <v>5330</v>
      </c>
    </row>
    <row customHeight="1" ht="11.25">
      <c r="B22" s="100" t="s">
        <v>5331</v>
      </c>
    </row>
    <row r="24" customHeight="1" ht="22.5">
      <c r="B24" s="167" t="s">
        <v>5332</v>
      </c>
    </row>
    <row r="26" customHeight="1" ht="11.25">
      <c r="B26" s="99" t="s">
        <v>5333</v>
      </c>
    </row>
    <row customHeight="1" ht="22.5">
      <c r="B27" s="166" t="s">
        <v>412</v>
      </c>
    </row>
    <row customHeight="1" ht="56.25">
      <c r="B28" s="166" t="s">
        <v>5334</v>
      </c>
    </row>
    <row customHeight="1" ht="11.25">
      <c r="B29" s="216" t="s">
        <v>5335</v>
      </c>
    </row>
    <row customHeight="1" ht="22.5">
      <c r="B30" s="166" t="s">
        <v>5336</v>
      </c>
    </row>
    <row r="32" customHeight="1" ht="11.25">
      <c r="A32" s="194"/>
      <c r="B32" s="195" t="s">
        <v>5337</v>
      </c>
    </row>
    <row customHeight="1" ht="14.25">
      <c r="A33" s="196">
        <v>1</v>
      </c>
      <c r="B33" s="197" t="s">
        <v>5338</v>
      </c>
    </row>
    <row customHeight="1" ht="14.25">
      <c r="A34" s="196">
        <v>2</v>
      </c>
      <c r="B34" s="197" t="s">
        <v>5339</v>
      </c>
    </row>
    <row customHeight="1" ht="11.25">
      <c r="B35" s="195" t="s">
        <v>5340</v>
      </c>
    </row>
    <row customHeight="1" ht="11.25">
      <c r="B36" s="197" t="s">
        <v>5341</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3DFCAE-914D-F302-CF22-2E6971BB1A8A}"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38.00390625" customWidth="1"/>
    <col min="6" max="7" style="1641" width="3.00390625" customWidth="1"/>
    <col min="8" max="8" style="1641" width="38.00390625" customWidth="1"/>
    <col min="9" max="9" style="1641" width="35.00390625" customWidth="1"/>
    <col min="10" max="10" style="1641" width="103.00390625" customWidth="1"/>
    <col min="11" max="11" style="1825" width="3.00390625" customWidth="1"/>
    <col min="12" max="14" style="1648" width="10.00390625" customWidth="1"/>
    <col min="15" max="15" style="1648" width="13.00390625" customWidth="1"/>
    <col min="16" max="16" style="1648" width="15.00390625" customWidth="1"/>
    <col min="17" max="17" style="1648" width="16.00390625" customWidth="1"/>
    <col min="18" max="21" style="1648" width="10.00390625" customWidth="1"/>
    <col min="22" max="22" style="1641" width="10.57421875" hidden="1"/>
  </cols>
  <sheetData>
    <row customHeight="1" ht="22.5" hidden="1">
      <c r="E1" s="418"/>
      <c r="F1" s="418"/>
      <c r="G1" s="418"/>
      <c r="H1" s="2223" t="s">
        <v>368</v>
      </c>
      <c r="I1" s="2223"/>
      <c r="V1" s="1613" t="s">
        <v>14</v>
      </c>
    </row>
    <row s="1641" customFormat="1" customHeight="1" ht="14.25" hidden="1">
      <c r="C2" s="1625"/>
      <c r="D2" s="2239" t="s">
        <v>111</v>
      </c>
      <c r="E2" s="2241"/>
      <c r="F2" s="1631"/>
      <c r="G2" s="1626" t="s">
        <v>111</v>
      </c>
      <c r="H2" s="1629"/>
      <c r="I2" s="1627"/>
      <c r="L2" s="1628"/>
      <c r="M2" s="1628"/>
      <c r="N2" s="1628"/>
      <c r="O2" s="1628" t="s">
        <v>398</v>
      </c>
      <c r="P2" s="1628"/>
      <c r="Q2" s="1628"/>
      <c r="R2" s="1630" t="s">
        <v>397</v>
      </c>
      <c r="S2" s="1630" t="s">
        <v>397</v>
      </c>
      <c r="T2" s="1628"/>
      <c r="U2" s="1628"/>
      <c r="V2" s="1624">
        <v>0</v>
      </c>
    </row>
    <row s="1641" customFormat="1" customHeight="1" ht="14.25" hidden="1">
      <c r="C3" s="1625"/>
      <c r="D3" s="2240"/>
      <c r="E3" s="2242"/>
      <c r="F3" s="411"/>
      <c r="G3" s="875"/>
      <c r="H3" s="875" t="s">
        <v>399</v>
      </c>
      <c r="I3" s="319"/>
      <c r="L3" s="1628"/>
      <c r="M3" s="1628"/>
      <c r="N3" s="1628"/>
      <c r="O3" s="1628"/>
      <c r="P3" s="1628"/>
      <c r="Q3" s="1628"/>
      <c r="R3" s="1630"/>
      <c r="S3" s="1630"/>
      <c r="T3" s="1628"/>
      <c r="U3" s="1628"/>
      <c r="V3" s="1624">
        <v>0</v>
      </c>
    </row>
    <row customHeight="1" ht="14.25" hidden="1">
      <c r="V4" s="1613">
        <v>0</v>
      </c>
    </row>
    <row s="1619" customFormat="1" customHeight="1" ht="5.25">
      <c r="C5" s="707"/>
      <c r="D5" s="708"/>
      <c r="E5" s="708"/>
      <c r="F5" s="708"/>
      <c r="G5" s="708"/>
      <c r="H5" s="708" t="s">
        <v>372</v>
      </c>
      <c r="I5" s="708"/>
      <c r="J5" s="708"/>
      <c r="L5" s="1620"/>
      <c r="M5" s="1620"/>
      <c r="N5" s="1620"/>
      <c r="O5" s="1620"/>
      <c r="P5" s="1620"/>
      <c r="Q5" s="1620"/>
      <c r="R5" s="1620"/>
      <c r="S5" s="1620"/>
      <c r="T5" s="1620"/>
      <c r="U5" s="1620"/>
      <c r="V5" s="1619">
        <v>5</v>
      </c>
    </row>
    <row customHeight="1" ht="29.25">
      <c r="C6" s="1522"/>
      <c r="D6" s="2243" t="s">
        <v>400</v>
      </c>
      <c r="E6" s="2243"/>
      <c r="F6" s="2243"/>
      <c r="G6" s="2243"/>
      <c r="H6" s="2243"/>
      <c r="I6" s="2243"/>
      <c r="J6" s="497"/>
      <c r="K6" s="1621"/>
      <c r="V6" s="1613">
        <v>28</v>
      </c>
    </row>
    <row customHeight="1" ht="18">
      <c r="C7" s="1522"/>
      <c r="D7" s="2182" t="str">
        <f>IF(org=0,"Не определено",org)</f>
        <v>АО «ДГК» СП «Нерюнгринская ГРЭС»</v>
      </c>
      <c r="E7" s="2182"/>
      <c r="F7" s="2182"/>
      <c r="G7" s="2182"/>
      <c r="H7" s="2182"/>
      <c r="I7" s="2182"/>
      <c r="J7" s="497"/>
      <c r="K7" s="1621"/>
      <c r="V7" s="1613">
        <v>17</v>
      </c>
    </row>
    <row s="1618" customFormat="1" customHeight="1" ht="5.25">
      <c r="A8" s="1617"/>
      <c r="C8" s="492"/>
      <c r="D8" s="491"/>
      <c r="E8" s="491"/>
      <c r="F8" s="491"/>
      <c r="G8" s="491"/>
      <c r="H8" s="491"/>
      <c r="I8" s="491"/>
      <c r="J8" s="491"/>
      <c r="L8" s="1620"/>
      <c r="M8" s="1620"/>
      <c r="N8" s="1620"/>
      <c r="O8" s="1620"/>
      <c r="P8" s="1620"/>
      <c r="Q8" s="1620"/>
      <c r="R8" s="1620"/>
      <c r="S8" s="1620"/>
      <c r="T8" s="1620"/>
      <c r="U8" s="1620"/>
      <c r="V8" s="1618">
        <v>5</v>
      </c>
    </row>
    <row s="1618" customFormat="1" customHeight="1" ht="5.25">
      <c r="A9" s="1617"/>
      <c r="C9" s="492"/>
      <c r="D9" s="491"/>
      <c r="E9" s="491"/>
      <c r="F9" s="491"/>
      <c r="G9" s="491"/>
      <c r="H9" s="491"/>
      <c r="I9" s="491"/>
      <c r="J9" s="491"/>
      <c r="L9" s="1628"/>
      <c r="M9" s="1628"/>
      <c r="N9" s="1628"/>
      <c r="O9" s="1628"/>
      <c r="P9" s="1628"/>
      <c r="Q9" s="1628"/>
      <c r="R9" s="1628"/>
      <c r="S9" s="1628"/>
      <c r="T9" s="1628"/>
      <c r="U9" s="1628"/>
      <c r="V9" s="1618">
        <v>5</v>
      </c>
    </row>
    <row customHeight="1" ht="14.699999999999998">
      <c r="C10" s="1522"/>
      <c r="D10" s="2224" t="s">
        <v>316</v>
      </c>
      <c r="E10" s="2225"/>
      <c r="F10" s="2225"/>
      <c r="G10" s="2225"/>
      <c r="H10" s="2225"/>
      <c r="I10" s="2225"/>
      <c r="J10" s="2229" t="s">
        <v>317</v>
      </c>
      <c r="V10" s="1613">
        <v>14</v>
      </c>
    </row>
    <row customHeight="1" ht="27.299999999999997">
      <c r="C11" s="1522"/>
      <c r="D11" s="2133" t="s">
        <v>89</v>
      </c>
      <c r="E11" s="2229" t="s">
        <v>107</v>
      </c>
      <c r="F11" s="2198" t="s">
        <v>89</v>
      </c>
      <c r="G11" s="2199"/>
      <c r="H11" s="2181" t="s">
        <v>401</v>
      </c>
      <c r="I11" s="2181" t="s">
        <v>402</v>
      </c>
      <c r="J11" s="2229"/>
      <c r="V11" s="1613">
        <v>26</v>
      </c>
    </row>
    <row customHeight="1" ht="14.699999999999998">
      <c r="C12" s="1522"/>
      <c r="D12" s="2133"/>
      <c r="E12" s="2229"/>
      <c r="F12" s="2206"/>
      <c r="G12" s="2207"/>
      <c r="H12" s="2238"/>
      <c r="I12" s="2238"/>
      <c r="J12" s="2229"/>
      <c r="V12" s="1613">
        <v>14</v>
      </c>
    </row>
    <row s="1647" customFormat="1" customHeight="1" ht="11.25" hidden="1">
      <c r="C13" s="504"/>
      <c r="D13" s="505" t="s">
        <v>392</v>
      </c>
      <c r="E13" s="505"/>
      <c r="F13" s="505"/>
      <c r="G13" s="505"/>
      <c r="H13" s="503"/>
      <c r="I13" s="503"/>
      <c r="J13" s="441"/>
      <c r="L13" s="1620"/>
      <c r="M13" s="1620"/>
      <c r="N13" s="1620"/>
      <c r="O13" s="1620"/>
      <c r="P13" s="1620"/>
      <c r="Q13" s="1620"/>
      <c r="R13" s="1620"/>
      <c r="S13" s="1620"/>
      <c r="T13" s="1620"/>
      <c r="U13" s="1620"/>
      <c r="V13" s="502">
        <v>0</v>
      </c>
    </row>
    <row customHeight="1" ht="14.699999999999998">
      <c r="A14" s="1613"/>
      <c r="C14" s="1522"/>
      <c r="D14" s="2239" t="s">
        <v>111</v>
      </c>
      <c r="E14" s="2241"/>
      <c r="F14" s="1623"/>
      <c r="G14" s="1622" t="s">
        <v>111</v>
      </c>
      <c r="H14" s="1629"/>
      <c r="I14" s="1627"/>
      <c r="J14" s="2175" t="s">
        <v>403</v>
      </c>
      <c r="K14" s="1613"/>
      <c r="R14" s="506" t="s">
        <v>397</v>
      </c>
      <c r="S14" s="506" t="s">
        <v>397</v>
      </c>
      <c r="V14" s="1613">
        <v>14</v>
      </c>
    </row>
    <row customHeight="1" ht="14.699999999999998">
      <c r="A15" s="1613"/>
      <c r="C15" s="1522"/>
      <c r="D15" s="2240"/>
      <c r="E15" s="2242"/>
      <c r="F15" s="411"/>
      <c r="G15" s="875"/>
      <c r="H15" s="875" t="s">
        <v>399</v>
      </c>
      <c r="I15" s="319"/>
      <c r="J15" s="2176"/>
      <c r="K15" s="1613"/>
      <c r="R15" s="506"/>
      <c r="S15" s="506"/>
      <c r="V15" s="1613">
        <v>14</v>
      </c>
    </row>
    <row customHeight="1" ht="14.699999999999998">
      <c r="A16" s="1613"/>
      <c r="C16" s="1522"/>
      <c r="D16" s="411"/>
      <c r="E16" s="875" t="s">
        <v>123</v>
      </c>
      <c r="F16" s="319"/>
      <c r="G16" s="319"/>
      <c r="H16" s="412"/>
      <c r="I16" s="412"/>
      <c r="J16" s="2177"/>
      <c r="K16" s="1613"/>
      <c r="V16" s="1613">
        <v>14</v>
      </c>
    </row>
    <row customHeight="1" ht="14.699999999999998">
      <c r="K17" s="1613"/>
      <c r="V17" s="1613">
        <v>14</v>
      </c>
    </row>
    <row customHeight="1" ht="22.5" hidden="1">
      <c r="A18" s="1614" t="s">
        <v>83</v>
      </c>
      <c r="B18" s="1613">
        <v>0</v>
      </c>
      <c r="C18" s="457">
        <v>3</v>
      </c>
      <c r="D18" s="1613">
        <v>5</v>
      </c>
      <c r="E18" s="1613">
        <v>38</v>
      </c>
      <c r="F18" s="1613">
        <v>3</v>
      </c>
      <c r="G18" s="1613">
        <v>3</v>
      </c>
      <c r="H18" s="1613">
        <v>38</v>
      </c>
      <c r="I18" s="1613">
        <v>35</v>
      </c>
      <c r="J18" s="1613">
        <v>103</v>
      </c>
      <c r="K18" s="1615">
        <v>3</v>
      </c>
      <c r="L18" s="1620">
        <v>10</v>
      </c>
      <c r="M18" s="1620">
        <v>10</v>
      </c>
      <c r="N18" s="1620">
        <v>10</v>
      </c>
      <c r="O18" s="1620">
        <v>13</v>
      </c>
      <c r="P18" s="1620">
        <v>15</v>
      </c>
      <c r="Q18" s="1620">
        <v>16</v>
      </c>
      <c r="R18" s="1620">
        <v>10</v>
      </c>
      <c r="S18" s="1620">
        <v>10</v>
      </c>
      <c r="T18" s="1620">
        <v>10</v>
      </c>
      <c r="U18" s="1620">
        <v>10</v>
      </c>
      <c r="V18" s="1613">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